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reese\Documents\Box - Tulane - 12-25\Finance 7110 (MBA Investments)\Spreadsheets\"/>
    </mc:Choice>
  </mc:AlternateContent>
  <xr:revisionPtr revIDLastSave="0" documentId="8_{2451B0AF-493E-4EA0-A41E-B8DD0705687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turns" sheetId="1" r:id="rId1"/>
    <sheet name="Correlation Matrix" sheetId="4" r:id="rId2"/>
    <sheet name="Covar Matrix" sheetId="2" r:id="rId3"/>
    <sheet name="Efficient Frontier" sheetId="3" r:id="rId4"/>
  </sheets>
  <definedNames>
    <definedName name="AAPL">Returns!$L$4:$L$63</definedName>
    <definedName name="DIS">Returns!$N$4:$N$63</definedName>
    <definedName name="GE">Returns!$O$4:$O$63</definedName>
    <definedName name="IVV">Returns!$S$4:$S$63</definedName>
    <definedName name="MRK">Returns!$P$4:$P$63</definedName>
    <definedName name="PRU">Returns!$M$4:$M$63</definedName>
    <definedName name="PZZA">Returns!$K$4:$K$63</definedName>
    <definedName name="solver_adj" localSheetId="2" hidden="1">'Covar Matrix'!$M$16</definedName>
    <definedName name="solver_cvg" localSheetId="2" hidden="1">0.0001</definedName>
    <definedName name="solver_cvg" localSheetId="3" hidden="1">0.0001</definedName>
    <definedName name="solver_drv" localSheetId="2" hidden="1">1</definedName>
    <definedName name="solver_drv" localSheetId="3" hidden="1">1</definedName>
    <definedName name="solver_eng" localSheetId="2" hidden="1">1</definedName>
    <definedName name="solver_est" localSheetId="2" hidden="1">1</definedName>
    <definedName name="solver_est" localSheetId="3" hidden="1">1</definedName>
    <definedName name="solver_itr" localSheetId="2" hidden="1">100</definedName>
    <definedName name="solver_itr" localSheetId="3" hidden="1">100</definedName>
    <definedName name="solver_lhs1" localSheetId="2" hidden="1">'Covar Matrix'!$B$23</definedName>
    <definedName name="solver_lhs2" localSheetId="2" hidden="1">'Covar Matrix'!$B$27</definedName>
    <definedName name="solver_lin" localSheetId="2" hidden="1">2</definedName>
    <definedName name="solver_lin" localSheetId="3" hidden="1">2</definedName>
    <definedName name="solver_mip" localSheetId="2" hidden="1">2147483647</definedName>
    <definedName name="solver_mni" localSheetId="2" hidden="1">30</definedName>
    <definedName name="solver_mrt" localSheetId="2" hidden="1">0.075</definedName>
    <definedName name="solver_msl" localSheetId="2" hidden="1">2</definedName>
    <definedName name="solver_neg" localSheetId="2" hidden="1">2</definedName>
    <definedName name="solver_neg" localSheetId="3" hidden="1">2</definedName>
    <definedName name="solver_nod" localSheetId="2" hidden="1">2147483647</definedName>
    <definedName name="solver_num" localSheetId="2" hidden="1">1</definedName>
    <definedName name="solver_num" localSheetId="3" hidden="1">0</definedName>
    <definedName name="solver_nwt" localSheetId="2" hidden="1">1</definedName>
    <definedName name="solver_nwt" localSheetId="3" hidden="1">1</definedName>
    <definedName name="solver_opt" localSheetId="2" hidden="1">'Covar Matrix'!$M$19</definedName>
    <definedName name="solver_opt" localSheetId="3" hidden="1">'Covar Matrix'!$M$14</definedName>
    <definedName name="solver_pre" localSheetId="2" hidden="1">0.000001</definedName>
    <definedName name="solver_pre" localSheetId="3" hidden="1">0.000001</definedName>
    <definedName name="solver_rbv" localSheetId="2" hidden="1">1</definedName>
    <definedName name="solver_rel1" localSheetId="2" hidden="1">2</definedName>
    <definedName name="solver_rel2" localSheetId="2" hidden="1">2</definedName>
    <definedName name="solver_rhs1" localSheetId="2" hidden="1">1</definedName>
    <definedName name="solver_rhs2" localSheetId="2" hidden="1">0.13</definedName>
    <definedName name="solver_rlx" localSheetId="2" hidden="1">1</definedName>
    <definedName name="solver_rsd" localSheetId="2" hidden="1">0</definedName>
    <definedName name="solver_scl" localSheetId="2" hidden="1">2</definedName>
    <definedName name="solver_scl" localSheetId="3" hidden="1">2</definedName>
    <definedName name="solver_sho" localSheetId="2" hidden="1">2</definedName>
    <definedName name="solver_sho" localSheetId="3" hidden="1">2</definedName>
    <definedName name="solver_ssz" localSheetId="2" hidden="1">100</definedName>
    <definedName name="solver_tim" localSheetId="2" hidden="1">100</definedName>
    <definedName name="solver_tim" localSheetId="3" hidden="1">100</definedName>
    <definedName name="solver_tol" localSheetId="2" hidden="1">0.05</definedName>
    <definedName name="solver_tol" localSheetId="3" hidden="1">0.05</definedName>
    <definedName name="solver_typ" localSheetId="2" hidden="1">1</definedName>
    <definedName name="solver_typ" localSheetId="3" hidden="1">1</definedName>
    <definedName name="solver_val" localSheetId="2" hidden="1">0</definedName>
    <definedName name="solver_val" localSheetId="3" hidden="1">0</definedName>
    <definedName name="solver_ver" localSheetId="2" hidden="1">3</definedName>
    <definedName name="UAL">Returns!$R$4:$R$63</definedName>
    <definedName name="XOM">Returns!$Q$4:$Q$63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1" i="2" l="1"/>
  <c r="G3" i="1" a="1"/>
  <c r="F3" i="1" a="1"/>
  <c r="B3" i="1" a="1"/>
  <c r="J3" i="1" a="1"/>
  <c r="E3" i="1" a="1"/>
  <c r="C3" i="1" a="1"/>
  <c r="I3" i="1" a="1"/>
  <c r="D3" i="1" a="1"/>
  <c r="H3" i="1" a="1"/>
  <c r="J3" i="1" l="1"/>
  <c r="S4" i="1" s="1"/>
  <c r="E3" i="1"/>
  <c r="N4" i="1" s="1"/>
  <c r="H3" i="1"/>
  <c r="D3" i="1"/>
  <c r="I3" i="1"/>
  <c r="R4" i="1" s="1"/>
  <c r="F3" i="1"/>
  <c r="O4" i="1" s="1"/>
  <c r="G3" i="1"/>
  <c r="P4" i="1" s="1"/>
  <c r="C3" i="1"/>
  <c r="L4" i="1" s="1"/>
  <c r="B3" i="1"/>
  <c r="C2" i="4"/>
  <c r="C14" i="4" s="1"/>
  <c r="D2" i="2" s="1"/>
  <c r="D13" i="2" s="1"/>
  <c r="D2" i="3" s="1"/>
  <c r="D2" i="4"/>
  <c r="A5" i="4" s="1"/>
  <c r="A17" i="4" s="1"/>
  <c r="B5" i="2" s="1"/>
  <c r="A17" i="2" s="1"/>
  <c r="E2" i="4"/>
  <c r="E14" i="4" s="1"/>
  <c r="F2" i="2" s="1"/>
  <c r="F13" i="2" s="1"/>
  <c r="F2" i="3" s="1"/>
  <c r="F2" i="4"/>
  <c r="F14" i="4" s="1"/>
  <c r="G2" i="2" s="1"/>
  <c r="G13" i="2" s="1"/>
  <c r="G2" i="3" s="1"/>
  <c r="G2" i="4"/>
  <c r="A8" i="4" s="1"/>
  <c r="H2" i="4"/>
  <c r="A9" i="4" s="1"/>
  <c r="I2" i="4"/>
  <c r="I14" i="4" s="1"/>
  <c r="J2" i="2" s="1"/>
  <c r="J13" i="2" s="1"/>
  <c r="J2" i="3" s="1"/>
  <c r="B2" i="4"/>
  <c r="B14" i="4" s="1"/>
  <c r="C2" i="2" s="1"/>
  <c r="C13" i="2" s="1"/>
  <c r="C2" i="3" s="1"/>
  <c r="L2" i="1"/>
  <c r="M2" i="1"/>
  <c r="N2" i="1"/>
  <c r="O2" i="1"/>
  <c r="P2" i="1"/>
  <c r="Q2" i="1"/>
  <c r="R2" i="1"/>
  <c r="S2" i="1"/>
  <c r="K2" i="1"/>
  <c r="K4" i="1"/>
  <c r="M4" i="1"/>
  <c r="Q4" i="1"/>
  <c r="K5" i="1"/>
  <c r="L5" i="1"/>
  <c r="M5" i="1"/>
  <c r="N5" i="1"/>
  <c r="O5" i="1"/>
  <c r="P5" i="1"/>
  <c r="Q5" i="1"/>
  <c r="R5" i="1"/>
  <c r="S5" i="1"/>
  <c r="K6" i="1"/>
  <c r="L6" i="1"/>
  <c r="M6" i="1"/>
  <c r="N6" i="1"/>
  <c r="O6" i="1"/>
  <c r="P6" i="1"/>
  <c r="Q6" i="1"/>
  <c r="R6" i="1"/>
  <c r="S6" i="1"/>
  <c r="K7" i="1"/>
  <c r="L7" i="1"/>
  <c r="M7" i="1"/>
  <c r="N7" i="1"/>
  <c r="O7" i="1"/>
  <c r="P7" i="1"/>
  <c r="Q7" i="1"/>
  <c r="R7" i="1"/>
  <c r="S7" i="1"/>
  <c r="K8" i="1"/>
  <c r="L8" i="1"/>
  <c r="M8" i="1"/>
  <c r="N8" i="1"/>
  <c r="O8" i="1"/>
  <c r="P8" i="1"/>
  <c r="Q8" i="1"/>
  <c r="R8" i="1"/>
  <c r="S8" i="1"/>
  <c r="K9" i="1"/>
  <c r="L9" i="1"/>
  <c r="M9" i="1"/>
  <c r="N9" i="1"/>
  <c r="O9" i="1"/>
  <c r="P9" i="1"/>
  <c r="Q9" i="1"/>
  <c r="R9" i="1"/>
  <c r="S9" i="1"/>
  <c r="K10" i="1"/>
  <c r="L10" i="1"/>
  <c r="M10" i="1"/>
  <c r="N10" i="1"/>
  <c r="O10" i="1"/>
  <c r="P10" i="1"/>
  <c r="Q10" i="1"/>
  <c r="R10" i="1"/>
  <c r="S10" i="1"/>
  <c r="K11" i="1"/>
  <c r="L11" i="1"/>
  <c r="M11" i="1"/>
  <c r="N11" i="1"/>
  <c r="O11" i="1"/>
  <c r="P11" i="1"/>
  <c r="Q11" i="1"/>
  <c r="R11" i="1"/>
  <c r="S11" i="1"/>
  <c r="K12" i="1"/>
  <c r="L12" i="1"/>
  <c r="M12" i="1"/>
  <c r="N12" i="1"/>
  <c r="O12" i="1"/>
  <c r="P12" i="1"/>
  <c r="Q12" i="1"/>
  <c r="R12" i="1"/>
  <c r="S12" i="1"/>
  <c r="K13" i="1"/>
  <c r="L13" i="1"/>
  <c r="M13" i="1"/>
  <c r="N13" i="1"/>
  <c r="O13" i="1"/>
  <c r="P13" i="1"/>
  <c r="Q13" i="1"/>
  <c r="R13" i="1"/>
  <c r="S13" i="1"/>
  <c r="K14" i="1"/>
  <c r="L14" i="1"/>
  <c r="M14" i="1"/>
  <c r="N14" i="1"/>
  <c r="O14" i="1"/>
  <c r="P14" i="1"/>
  <c r="Q14" i="1"/>
  <c r="R14" i="1"/>
  <c r="S14" i="1"/>
  <c r="K15" i="1"/>
  <c r="L15" i="1"/>
  <c r="M15" i="1"/>
  <c r="N15" i="1"/>
  <c r="O15" i="1"/>
  <c r="P15" i="1"/>
  <c r="Q15" i="1"/>
  <c r="R15" i="1"/>
  <c r="S15" i="1"/>
  <c r="K16" i="1"/>
  <c r="L16" i="1"/>
  <c r="M16" i="1"/>
  <c r="N16" i="1"/>
  <c r="O16" i="1"/>
  <c r="P16" i="1"/>
  <c r="Q16" i="1"/>
  <c r="R16" i="1"/>
  <c r="S16" i="1"/>
  <c r="K17" i="1"/>
  <c r="L17" i="1"/>
  <c r="M17" i="1"/>
  <c r="N17" i="1"/>
  <c r="O17" i="1"/>
  <c r="P17" i="1"/>
  <c r="Q17" i="1"/>
  <c r="R17" i="1"/>
  <c r="S17" i="1"/>
  <c r="K18" i="1"/>
  <c r="L18" i="1"/>
  <c r="M18" i="1"/>
  <c r="N18" i="1"/>
  <c r="O18" i="1"/>
  <c r="P18" i="1"/>
  <c r="Q18" i="1"/>
  <c r="R18" i="1"/>
  <c r="S18" i="1"/>
  <c r="K19" i="1"/>
  <c r="L19" i="1"/>
  <c r="M19" i="1"/>
  <c r="N19" i="1"/>
  <c r="O19" i="1"/>
  <c r="P19" i="1"/>
  <c r="Q19" i="1"/>
  <c r="R19" i="1"/>
  <c r="S19" i="1"/>
  <c r="K20" i="1"/>
  <c r="L20" i="1"/>
  <c r="M20" i="1"/>
  <c r="N20" i="1"/>
  <c r="O20" i="1"/>
  <c r="P20" i="1"/>
  <c r="Q20" i="1"/>
  <c r="R20" i="1"/>
  <c r="S20" i="1"/>
  <c r="K21" i="1"/>
  <c r="L21" i="1"/>
  <c r="M21" i="1"/>
  <c r="N21" i="1"/>
  <c r="O21" i="1"/>
  <c r="P21" i="1"/>
  <c r="Q21" i="1"/>
  <c r="R21" i="1"/>
  <c r="S21" i="1"/>
  <c r="K22" i="1"/>
  <c r="L22" i="1"/>
  <c r="M22" i="1"/>
  <c r="N22" i="1"/>
  <c r="O22" i="1"/>
  <c r="P22" i="1"/>
  <c r="Q22" i="1"/>
  <c r="R22" i="1"/>
  <c r="S22" i="1"/>
  <c r="K23" i="1"/>
  <c r="L23" i="1"/>
  <c r="M23" i="1"/>
  <c r="N23" i="1"/>
  <c r="O23" i="1"/>
  <c r="P23" i="1"/>
  <c r="Q23" i="1"/>
  <c r="R23" i="1"/>
  <c r="S23" i="1"/>
  <c r="K24" i="1"/>
  <c r="L24" i="1"/>
  <c r="M24" i="1"/>
  <c r="N24" i="1"/>
  <c r="O24" i="1"/>
  <c r="P24" i="1"/>
  <c r="Q24" i="1"/>
  <c r="R24" i="1"/>
  <c r="S24" i="1"/>
  <c r="K25" i="1"/>
  <c r="L25" i="1"/>
  <c r="M25" i="1"/>
  <c r="N25" i="1"/>
  <c r="O25" i="1"/>
  <c r="P25" i="1"/>
  <c r="Q25" i="1"/>
  <c r="R25" i="1"/>
  <c r="S25" i="1"/>
  <c r="K26" i="1"/>
  <c r="L26" i="1"/>
  <c r="M26" i="1"/>
  <c r="N26" i="1"/>
  <c r="O26" i="1"/>
  <c r="P26" i="1"/>
  <c r="Q26" i="1"/>
  <c r="R26" i="1"/>
  <c r="S26" i="1"/>
  <c r="K27" i="1"/>
  <c r="L27" i="1"/>
  <c r="M27" i="1"/>
  <c r="N27" i="1"/>
  <c r="O27" i="1"/>
  <c r="P27" i="1"/>
  <c r="Q27" i="1"/>
  <c r="R27" i="1"/>
  <c r="S27" i="1"/>
  <c r="K28" i="1"/>
  <c r="L28" i="1"/>
  <c r="M28" i="1"/>
  <c r="N28" i="1"/>
  <c r="O28" i="1"/>
  <c r="P28" i="1"/>
  <c r="Q28" i="1"/>
  <c r="R28" i="1"/>
  <c r="S28" i="1"/>
  <c r="K29" i="1"/>
  <c r="L29" i="1"/>
  <c r="M29" i="1"/>
  <c r="N29" i="1"/>
  <c r="O29" i="1"/>
  <c r="P29" i="1"/>
  <c r="Q29" i="1"/>
  <c r="R29" i="1"/>
  <c r="S29" i="1"/>
  <c r="K30" i="1"/>
  <c r="L30" i="1"/>
  <c r="M30" i="1"/>
  <c r="N30" i="1"/>
  <c r="O30" i="1"/>
  <c r="P30" i="1"/>
  <c r="Q30" i="1"/>
  <c r="R30" i="1"/>
  <c r="S30" i="1"/>
  <c r="K31" i="1"/>
  <c r="L31" i="1"/>
  <c r="M31" i="1"/>
  <c r="N31" i="1"/>
  <c r="O31" i="1"/>
  <c r="P31" i="1"/>
  <c r="Q31" i="1"/>
  <c r="R31" i="1"/>
  <c r="S31" i="1"/>
  <c r="K32" i="1"/>
  <c r="L32" i="1"/>
  <c r="M32" i="1"/>
  <c r="N32" i="1"/>
  <c r="O32" i="1"/>
  <c r="P32" i="1"/>
  <c r="Q32" i="1"/>
  <c r="R32" i="1"/>
  <c r="S32" i="1"/>
  <c r="K33" i="1"/>
  <c r="L33" i="1"/>
  <c r="M33" i="1"/>
  <c r="N33" i="1"/>
  <c r="O33" i="1"/>
  <c r="P33" i="1"/>
  <c r="Q33" i="1"/>
  <c r="R33" i="1"/>
  <c r="S33" i="1"/>
  <c r="K34" i="1"/>
  <c r="L34" i="1"/>
  <c r="M34" i="1"/>
  <c r="N34" i="1"/>
  <c r="O34" i="1"/>
  <c r="P34" i="1"/>
  <c r="Q34" i="1"/>
  <c r="R34" i="1"/>
  <c r="S34" i="1"/>
  <c r="K35" i="1"/>
  <c r="L35" i="1"/>
  <c r="M35" i="1"/>
  <c r="N35" i="1"/>
  <c r="O35" i="1"/>
  <c r="P35" i="1"/>
  <c r="Q35" i="1"/>
  <c r="R35" i="1"/>
  <c r="S35" i="1"/>
  <c r="K36" i="1"/>
  <c r="L36" i="1"/>
  <c r="M36" i="1"/>
  <c r="N36" i="1"/>
  <c r="O36" i="1"/>
  <c r="P36" i="1"/>
  <c r="Q36" i="1"/>
  <c r="R36" i="1"/>
  <c r="S36" i="1"/>
  <c r="K37" i="1"/>
  <c r="L37" i="1"/>
  <c r="M37" i="1"/>
  <c r="N37" i="1"/>
  <c r="O37" i="1"/>
  <c r="P37" i="1"/>
  <c r="Q37" i="1"/>
  <c r="R37" i="1"/>
  <c r="S37" i="1"/>
  <c r="K38" i="1"/>
  <c r="L38" i="1"/>
  <c r="M38" i="1"/>
  <c r="N38" i="1"/>
  <c r="O38" i="1"/>
  <c r="P38" i="1"/>
  <c r="Q38" i="1"/>
  <c r="R38" i="1"/>
  <c r="S38" i="1"/>
  <c r="K39" i="1"/>
  <c r="L39" i="1"/>
  <c r="M39" i="1"/>
  <c r="N39" i="1"/>
  <c r="O39" i="1"/>
  <c r="P39" i="1"/>
  <c r="Q39" i="1"/>
  <c r="R39" i="1"/>
  <c r="S39" i="1"/>
  <c r="K40" i="1"/>
  <c r="L40" i="1"/>
  <c r="M40" i="1"/>
  <c r="N40" i="1"/>
  <c r="O40" i="1"/>
  <c r="P40" i="1"/>
  <c r="Q40" i="1"/>
  <c r="R40" i="1"/>
  <c r="S40" i="1"/>
  <c r="K41" i="1"/>
  <c r="L41" i="1"/>
  <c r="M41" i="1"/>
  <c r="N41" i="1"/>
  <c r="O41" i="1"/>
  <c r="P41" i="1"/>
  <c r="Q41" i="1"/>
  <c r="R41" i="1"/>
  <c r="S41" i="1"/>
  <c r="K42" i="1"/>
  <c r="L42" i="1"/>
  <c r="M42" i="1"/>
  <c r="N42" i="1"/>
  <c r="O42" i="1"/>
  <c r="P42" i="1"/>
  <c r="Q42" i="1"/>
  <c r="R42" i="1"/>
  <c r="S42" i="1"/>
  <c r="K43" i="1"/>
  <c r="L43" i="1"/>
  <c r="M43" i="1"/>
  <c r="N43" i="1"/>
  <c r="O43" i="1"/>
  <c r="P43" i="1"/>
  <c r="Q43" i="1"/>
  <c r="R43" i="1"/>
  <c r="S43" i="1"/>
  <c r="K44" i="1"/>
  <c r="L44" i="1"/>
  <c r="M44" i="1"/>
  <c r="N44" i="1"/>
  <c r="O44" i="1"/>
  <c r="P44" i="1"/>
  <c r="Q44" i="1"/>
  <c r="R44" i="1"/>
  <c r="S44" i="1"/>
  <c r="K45" i="1"/>
  <c r="L45" i="1"/>
  <c r="M45" i="1"/>
  <c r="N45" i="1"/>
  <c r="O45" i="1"/>
  <c r="P45" i="1"/>
  <c r="Q45" i="1"/>
  <c r="R45" i="1"/>
  <c r="S45" i="1"/>
  <c r="K46" i="1"/>
  <c r="L46" i="1"/>
  <c r="M46" i="1"/>
  <c r="N46" i="1"/>
  <c r="O46" i="1"/>
  <c r="P46" i="1"/>
  <c r="Q46" i="1"/>
  <c r="R46" i="1"/>
  <c r="S46" i="1"/>
  <c r="K47" i="1"/>
  <c r="L47" i="1"/>
  <c r="M47" i="1"/>
  <c r="N47" i="1"/>
  <c r="O47" i="1"/>
  <c r="P47" i="1"/>
  <c r="Q47" i="1"/>
  <c r="R47" i="1"/>
  <c r="S47" i="1"/>
  <c r="K48" i="1"/>
  <c r="L48" i="1"/>
  <c r="M48" i="1"/>
  <c r="N48" i="1"/>
  <c r="O48" i="1"/>
  <c r="P48" i="1"/>
  <c r="Q48" i="1"/>
  <c r="R48" i="1"/>
  <c r="S48" i="1"/>
  <c r="K49" i="1"/>
  <c r="L49" i="1"/>
  <c r="M49" i="1"/>
  <c r="N49" i="1"/>
  <c r="O49" i="1"/>
  <c r="P49" i="1"/>
  <c r="Q49" i="1"/>
  <c r="R49" i="1"/>
  <c r="S49" i="1"/>
  <c r="K50" i="1"/>
  <c r="L50" i="1"/>
  <c r="M50" i="1"/>
  <c r="N50" i="1"/>
  <c r="O50" i="1"/>
  <c r="P50" i="1"/>
  <c r="Q50" i="1"/>
  <c r="R50" i="1"/>
  <c r="S50" i="1"/>
  <c r="K51" i="1"/>
  <c r="L51" i="1"/>
  <c r="M51" i="1"/>
  <c r="N51" i="1"/>
  <c r="O51" i="1"/>
  <c r="P51" i="1"/>
  <c r="Q51" i="1"/>
  <c r="R51" i="1"/>
  <c r="S51" i="1"/>
  <c r="K52" i="1"/>
  <c r="L52" i="1"/>
  <c r="M52" i="1"/>
  <c r="N52" i="1"/>
  <c r="O52" i="1"/>
  <c r="P52" i="1"/>
  <c r="Q52" i="1"/>
  <c r="R52" i="1"/>
  <c r="S52" i="1"/>
  <c r="K53" i="1"/>
  <c r="L53" i="1"/>
  <c r="M53" i="1"/>
  <c r="N53" i="1"/>
  <c r="O53" i="1"/>
  <c r="P53" i="1"/>
  <c r="Q53" i="1"/>
  <c r="R53" i="1"/>
  <c r="S53" i="1"/>
  <c r="K54" i="1"/>
  <c r="L54" i="1"/>
  <c r="M54" i="1"/>
  <c r="N54" i="1"/>
  <c r="O54" i="1"/>
  <c r="P54" i="1"/>
  <c r="Q54" i="1"/>
  <c r="R54" i="1"/>
  <c r="S54" i="1"/>
  <c r="K55" i="1"/>
  <c r="L55" i="1"/>
  <c r="M55" i="1"/>
  <c r="N55" i="1"/>
  <c r="O55" i="1"/>
  <c r="P55" i="1"/>
  <c r="Q55" i="1"/>
  <c r="R55" i="1"/>
  <c r="S55" i="1"/>
  <c r="K56" i="1"/>
  <c r="L56" i="1"/>
  <c r="M56" i="1"/>
  <c r="N56" i="1"/>
  <c r="O56" i="1"/>
  <c r="P56" i="1"/>
  <c r="Q56" i="1"/>
  <c r="R56" i="1"/>
  <c r="S56" i="1"/>
  <c r="K57" i="1"/>
  <c r="L57" i="1"/>
  <c r="M57" i="1"/>
  <c r="N57" i="1"/>
  <c r="O57" i="1"/>
  <c r="P57" i="1"/>
  <c r="Q57" i="1"/>
  <c r="R57" i="1"/>
  <c r="S57" i="1"/>
  <c r="K58" i="1"/>
  <c r="L58" i="1"/>
  <c r="M58" i="1"/>
  <c r="N58" i="1"/>
  <c r="O58" i="1"/>
  <c r="P58" i="1"/>
  <c r="Q58" i="1"/>
  <c r="R58" i="1"/>
  <c r="S58" i="1"/>
  <c r="K59" i="1"/>
  <c r="L59" i="1"/>
  <c r="M59" i="1"/>
  <c r="N59" i="1"/>
  <c r="O59" i="1"/>
  <c r="P59" i="1"/>
  <c r="Q59" i="1"/>
  <c r="R59" i="1"/>
  <c r="S59" i="1"/>
  <c r="K60" i="1"/>
  <c r="L60" i="1"/>
  <c r="M60" i="1"/>
  <c r="N60" i="1"/>
  <c r="O60" i="1"/>
  <c r="P60" i="1"/>
  <c r="Q60" i="1"/>
  <c r="R60" i="1"/>
  <c r="S60" i="1"/>
  <c r="K61" i="1"/>
  <c r="L61" i="1"/>
  <c r="M61" i="1"/>
  <c r="N61" i="1"/>
  <c r="O61" i="1"/>
  <c r="P61" i="1"/>
  <c r="Q61" i="1"/>
  <c r="R61" i="1"/>
  <c r="S61" i="1"/>
  <c r="K62" i="1"/>
  <c r="L62" i="1"/>
  <c r="M62" i="1"/>
  <c r="N62" i="1"/>
  <c r="O62" i="1"/>
  <c r="P62" i="1"/>
  <c r="Q62" i="1"/>
  <c r="R62" i="1"/>
  <c r="S62" i="1"/>
  <c r="L63" i="1"/>
  <c r="M63" i="1"/>
  <c r="N63" i="1"/>
  <c r="O63" i="1"/>
  <c r="P63" i="1"/>
  <c r="Q63" i="1"/>
  <c r="R63" i="1"/>
  <c r="S63" i="1"/>
  <c r="K63" i="1"/>
  <c r="N22" i="2"/>
  <c r="B23" i="2"/>
  <c r="J14" i="2"/>
  <c r="I14" i="2"/>
  <c r="H14" i="2"/>
  <c r="G14" i="2"/>
  <c r="F14" i="2"/>
  <c r="E14" i="2"/>
  <c r="D14" i="2"/>
  <c r="C14" i="2"/>
  <c r="R67" i="1" l="1"/>
  <c r="R65" i="1"/>
  <c r="O65" i="1"/>
  <c r="O67" i="1"/>
  <c r="L65" i="1"/>
  <c r="L67" i="1"/>
  <c r="P65" i="1"/>
  <c r="P66" i="1" s="1"/>
  <c r="K8" i="4" s="1"/>
  <c r="P67" i="1"/>
  <c r="M67" i="1"/>
  <c r="M65" i="1"/>
  <c r="M66" i="1" s="1"/>
  <c r="K5" i="4" s="1"/>
  <c r="K67" i="1"/>
  <c r="K65" i="1"/>
  <c r="K66" i="1" s="1"/>
  <c r="K3" i="4" s="1"/>
  <c r="Q65" i="1"/>
  <c r="Q66" i="1" s="1"/>
  <c r="K9" i="4" s="1"/>
  <c r="Q67" i="1"/>
  <c r="N67" i="1"/>
  <c r="N65" i="1"/>
  <c r="S65" i="1"/>
  <c r="S67" i="1"/>
  <c r="A4" i="4"/>
  <c r="A16" i="4" s="1"/>
  <c r="B4" i="2" s="1"/>
  <c r="A16" i="2" s="1"/>
  <c r="H14" i="4"/>
  <c r="I2" i="2" s="1"/>
  <c r="I13" i="2" s="1"/>
  <c r="I2" i="3" s="1"/>
  <c r="G14" i="4"/>
  <c r="H2" i="2" s="1"/>
  <c r="H13" i="2" s="1"/>
  <c r="H2" i="3" s="1"/>
  <c r="I10" i="4"/>
  <c r="H9" i="4"/>
  <c r="H10" i="4"/>
  <c r="I9" i="4" s="1"/>
  <c r="G8" i="4"/>
  <c r="G9" i="4"/>
  <c r="H8" i="4" s="1"/>
  <c r="G10" i="4"/>
  <c r="I8" i="4" s="1"/>
  <c r="F10" i="4"/>
  <c r="I7" i="4" s="1"/>
  <c r="F7" i="4"/>
  <c r="F9" i="4"/>
  <c r="H7" i="4" s="1"/>
  <c r="F8" i="4"/>
  <c r="G7" i="4" s="1"/>
  <c r="E10" i="4"/>
  <c r="I6" i="4" s="1"/>
  <c r="E6" i="4"/>
  <c r="E9" i="4"/>
  <c r="H6" i="4" s="1"/>
  <c r="E7" i="4"/>
  <c r="F6" i="4" s="1"/>
  <c r="E8" i="4"/>
  <c r="G6" i="4" s="1"/>
  <c r="D8" i="4"/>
  <c r="G5" i="4" s="1"/>
  <c r="D6" i="4"/>
  <c r="E5" i="4" s="1"/>
  <c r="D9" i="4"/>
  <c r="H5" i="4" s="1"/>
  <c r="D7" i="4"/>
  <c r="F5" i="4" s="1"/>
  <c r="D10" i="4"/>
  <c r="I5" i="4" s="1"/>
  <c r="D5" i="4"/>
  <c r="C8" i="4"/>
  <c r="G4" i="4" s="1"/>
  <c r="C4" i="4"/>
  <c r="C7" i="4"/>
  <c r="F4" i="4" s="1"/>
  <c r="C9" i="4"/>
  <c r="H4" i="4" s="1"/>
  <c r="C10" i="4"/>
  <c r="I4" i="4" s="1"/>
  <c r="C6" i="4"/>
  <c r="E4" i="4" s="1"/>
  <c r="C5" i="4"/>
  <c r="D4" i="4" s="1"/>
  <c r="B9" i="4"/>
  <c r="H3" i="4" s="1"/>
  <c r="B5" i="4"/>
  <c r="D3" i="4" s="1"/>
  <c r="B8" i="4"/>
  <c r="G3" i="4" s="1"/>
  <c r="B4" i="4"/>
  <c r="C3" i="4" s="1"/>
  <c r="B6" i="4"/>
  <c r="E3" i="4" s="1"/>
  <c r="B7" i="4"/>
  <c r="F3" i="4" s="1"/>
  <c r="B3" i="4"/>
  <c r="B10" i="4"/>
  <c r="I3" i="4" s="1"/>
  <c r="A20" i="4"/>
  <c r="B8" i="2" s="1"/>
  <c r="A20" i="2" s="1"/>
  <c r="A21" i="4"/>
  <c r="B9" i="2" s="1"/>
  <c r="A21" i="2" s="1"/>
  <c r="L66" i="1"/>
  <c r="K4" i="4" s="1"/>
  <c r="A6" i="4"/>
  <c r="O66" i="1"/>
  <c r="K7" i="4" s="1"/>
  <c r="A3" i="4"/>
  <c r="R66" i="1"/>
  <c r="K10" i="4" s="1"/>
  <c r="A7" i="4"/>
  <c r="N66" i="1"/>
  <c r="K6" i="4" s="1"/>
  <c r="D14" i="4"/>
  <c r="E2" i="2" s="1"/>
  <c r="E13" i="2" s="1"/>
  <c r="E2" i="3" s="1"/>
  <c r="A10" i="4"/>
  <c r="S66" i="1"/>
  <c r="G17" i="4" l="1"/>
  <c r="H5" i="2" s="1"/>
  <c r="H17" i="2" s="1"/>
  <c r="C17" i="4"/>
  <c r="D5" i="2" s="1"/>
  <c r="D17" i="2" s="1"/>
  <c r="B16" i="4"/>
  <c r="C4" i="2" s="1"/>
  <c r="C16" i="2" s="1"/>
  <c r="D17" i="4"/>
  <c r="E5" i="2" s="1"/>
  <c r="E17" i="2" s="1"/>
  <c r="F17" i="4"/>
  <c r="G5" i="2" s="1"/>
  <c r="G17" i="2" s="1"/>
  <c r="H17" i="4"/>
  <c r="I5" i="2" s="1"/>
  <c r="I17" i="2" s="1"/>
  <c r="G16" i="4"/>
  <c r="H4" i="2" s="1"/>
  <c r="H16" i="2" s="1"/>
  <c r="H16" i="4"/>
  <c r="I4" i="2" s="1"/>
  <c r="I16" i="2" s="1"/>
  <c r="F16" i="4"/>
  <c r="G4" i="2" s="1"/>
  <c r="G16" i="2" s="1"/>
  <c r="C16" i="4"/>
  <c r="D4" i="2" s="1"/>
  <c r="D16" i="2" s="1"/>
  <c r="D21" i="4"/>
  <c r="E9" i="2" s="1"/>
  <c r="E21" i="2" s="1"/>
  <c r="H21" i="4"/>
  <c r="I9" i="2" s="1"/>
  <c r="I21" i="2" s="1"/>
  <c r="B20" i="4"/>
  <c r="C8" i="2" s="1"/>
  <c r="C20" i="2" s="1"/>
  <c r="B21" i="4"/>
  <c r="C9" i="2" s="1"/>
  <c r="C21" i="2" s="1"/>
  <c r="C21" i="4"/>
  <c r="D9" i="2" s="1"/>
  <c r="D21" i="2" s="1"/>
  <c r="E20" i="4"/>
  <c r="F8" i="2" s="1"/>
  <c r="F20" i="2" s="1"/>
  <c r="I17" i="4"/>
  <c r="J5" i="2" s="1"/>
  <c r="J17" i="2" s="1"/>
  <c r="E16" i="4"/>
  <c r="F4" i="2" s="1"/>
  <c r="F16" i="2" s="1"/>
  <c r="G21" i="4"/>
  <c r="H9" i="2" s="1"/>
  <c r="H21" i="2" s="1"/>
  <c r="H20" i="4"/>
  <c r="I8" i="2" s="1"/>
  <c r="I20" i="2" s="1"/>
  <c r="G20" i="4"/>
  <c r="H8" i="2" s="1"/>
  <c r="H20" i="2" s="1"/>
  <c r="B17" i="4"/>
  <c r="C5" i="2" s="1"/>
  <c r="C17" i="2" s="1"/>
  <c r="C20" i="4"/>
  <c r="D8" i="2" s="1"/>
  <c r="D20" i="2" s="1"/>
  <c r="F20" i="4"/>
  <c r="G8" i="2" s="1"/>
  <c r="G20" i="2" s="1"/>
  <c r="E18" i="4"/>
  <c r="F6" i="2" s="1"/>
  <c r="F18" i="2" s="1"/>
  <c r="F21" i="4"/>
  <c r="G9" i="2" s="1"/>
  <c r="G21" i="2" s="1"/>
  <c r="I20" i="4"/>
  <c r="J8" i="2" s="1"/>
  <c r="J20" i="2" s="1"/>
  <c r="D16" i="4"/>
  <c r="E4" i="2" s="1"/>
  <c r="E16" i="2" s="1"/>
  <c r="E21" i="4"/>
  <c r="F9" i="2" s="1"/>
  <c r="F21" i="2" s="1"/>
  <c r="D20" i="4"/>
  <c r="E8" i="2" s="1"/>
  <c r="E20" i="2" s="1"/>
  <c r="A18" i="4"/>
  <c r="B6" i="2" s="1"/>
  <c r="A18" i="2" s="1"/>
  <c r="Q68" i="1"/>
  <c r="Q69" i="1" s="1"/>
  <c r="L9" i="4" s="1"/>
  <c r="F18" i="4"/>
  <c r="G6" i="2" s="1"/>
  <c r="G18" i="2" s="1"/>
  <c r="H15" i="4"/>
  <c r="I3" i="2" s="1"/>
  <c r="I15" i="2" s="1"/>
  <c r="F15" i="4"/>
  <c r="G3" i="2" s="1"/>
  <c r="G15" i="2" s="1"/>
  <c r="I15" i="4"/>
  <c r="J3" i="2" s="1"/>
  <c r="J15" i="2" s="1"/>
  <c r="A15" i="4"/>
  <c r="B3" i="2" s="1"/>
  <c r="A15" i="2" s="1"/>
  <c r="I21" i="4"/>
  <c r="J9" i="2" s="1"/>
  <c r="J21" i="2" s="1"/>
  <c r="I16" i="4"/>
  <c r="J4" i="2" s="1"/>
  <c r="J16" i="2" s="1"/>
  <c r="F19" i="4"/>
  <c r="G7" i="2" s="1"/>
  <c r="G19" i="2" s="1"/>
  <c r="H19" i="4"/>
  <c r="I7" i="2" s="1"/>
  <c r="I19" i="2" s="1"/>
  <c r="C19" i="4"/>
  <c r="D7" i="2" s="1"/>
  <c r="D19" i="2" s="1"/>
  <c r="A19" i="4"/>
  <c r="B7" i="2" s="1"/>
  <c r="A19" i="2" s="1"/>
  <c r="E17" i="4"/>
  <c r="F5" i="2" s="1"/>
  <c r="F17" i="2" s="1"/>
  <c r="B18" i="4"/>
  <c r="C6" i="2" s="1"/>
  <c r="C18" i="2" s="1"/>
  <c r="I22" i="4"/>
  <c r="J10" i="2" s="1"/>
  <c r="J22" i="2" s="1"/>
  <c r="H22" i="4"/>
  <c r="I10" i="2" s="1"/>
  <c r="I22" i="2" s="1"/>
  <c r="G22" i="4"/>
  <c r="H10" i="2" s="1"/>
  <c r="H22" i="2" s="1"/>
  <c r="B22" i="4"/>
  <c r="C10" i="2" s="1"/>
  <c r="C22" i="2" s="1"/>
  <c r="E22" i="4"/>
  <c r="F10" i="2" s="1"/>
  <c r="F22" i="2" s="1"/>
  <c r="A22" i="4"/>
  <c r="B10" i="2" s="1"/>
  <c r="A22" i="2" s="1"/>
  <c r="M68" i="1"/>
  <c r="M69" i="1" s="1"/>
  <c r="L5" i="4" s="1"/>
  <c r="S68" i="1"/>
  <c r="S69" i="1" s="1"/>
  <c r="R68" i="1"/>
  <c r="R69" i="1" s="1"/>
  <c r="L10" i="4" s="1"/>
  <c r="N68" i="1"/>
  <c r="N69" i="1" s="1"/>
  <c r="L6" i="4" s="1"/>
  <c r="O68" i="1"/>
  <c r="O69" i="1" s="1"/>
  <c r="L7" i="4" s="1"/>
  <c r="L68" i="1"/>
  <c r="L69" i="1" s="1"/>
  <c r="L4" i="4" s="1"/>
  <c r="P68" i="1"/>
  <c r="P69" i="1" s="1"/>
  <c r="L8" i="4" s="1"/>
  <c r="K68" i="1"/>
  <c r="K69" i="1" s="1"/>
  <c r="L3" i="4" s="1"/>
  <c r="B19" i="4" l="1"/>
  <c r="C7" i="2" s="1"/>
  <c r="C19" i="2" s="1"/>
  <c r="C18" i="4"/>
  <c r="D6" i="2" s="1"/>
  <c r="D18" i="2" s="1"/>
  <c r="G15" i="4"/>
  <c r="H3" i="2" s="1"/>
  <c r="H15" i="2" s="1"/>
  <c r="E15" i="4"/>
  <c r="F3" i="2" s="1"/>
  <c r="F15" i="2" s="1"/>
  <c r="G19" i="4"/>
  <c r="H7" i="2" s="1"/>
  <c r="H19" i="2" s="1"/>
  <c r="D15" i="4"/>
  <c r="E3" i="2" s="1"/>
  <c r="E15" i="2" s="1"/>
  <c r="D22" i="4"/>
  <c r="E10" i="2" s="1"/>
  <c r="E22" i="2" s="1"/>
  <c r="H18" i="4"/>
  <c r="I6" i="2" s="1"/>
  <c r="I18" i="2" s="1"/>
  <c r="I19" i="4"/>
  <c r="J7" i="2" s="1"/>
  <c r="J19" i="2" s="1"/>
  <c r="C22" i="4"/>
  <c r="D10" i="2" s="1"/>
  <c r="D22" i="2" s="1"/>
  <c r="G18" i="4"/>
  <c r="H6" i="2" s="1"/>
  <c r="H18" i="2" s="1"/>
  <c r="F22" i="4"/>
  <c r="G10" i="2" s="1"/>
  <c r="G22" i="2" s="1"/>
  <c r="E19" i="4"/>
  <c r="F7" i="2" s="1"/>
  <c r="F19" i="2" s="1"/>
  <c r="B15" i="4"/>
  <c r="C3" i="2" s="1"/>
  <c r="C15" i="2" s="1"/>
  <c r="I18" i="4"/>
  <c r="J6" i="2" s="1"/>
  <c r="J18" i="2" s="1"/>
  <c r="D18" i="4"/>
  <c r="E6" i="2" s="1"/>
  <c r="E18" i="2" s="1"/>
  <c r="D19" i="4"/>
  <c r="E7" i="2" s="1"/>
  <c r="E19" i="2" s="1"/>
  <c r="C15" i="4"/>
  <c r="D3" i="2" s="1"/>
  <c r="D15" i="2" s="1"/>
  <c r="B27" i="2"/>
  <c r="M12" i="2" s="1"/>
  <c r="M17" i="2" s="1"/>
  <c r="B25" i="2" l="1"/>
  <c r="B26" i="2" s="1"/>
  <c r="M23" i="2" s="1"/>
  <c r="M24" i="2" s="1"/>
  <c r="N23" i="2"/>
  <c r="N24" i="2" s="1"/>
  <c r="M13" i="2" l="1"/>
  <c r="M14" i="2" s="1"/>
  <c r="M18" i="2" l="1"/>
  <c r="M19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545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4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6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8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0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2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4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6"/>
        </ext>
      </extLst>
    </bk>
    <bk>
      <extLst>
        <ext uri="{3e2802c4-a4d2-4d8b-9148-e3be6c30e623}">
          <xlrd:rvb i="37"/>
        </ext>
      </extLst>
    </bk>
    <bk>
      <extLst>
        <ext uri="{3e2802c4-a4d2-4d8b-9148-e3be6c30e623}">
          <xlrd:rvb i="38"/>
        </ext>
      </extLst>
    </bk>
    <bk>
      <extLst>
        <ext uri="{3e2802c4-a4d2-4d8b-9148-e3be6c30e623}">
          <xlrd:rvb i="39"/>
        </ext>
      </extLst>
    </bk>
    <bk>
      <extLst>
        <ext uri="{3e2802c4-a4d2-4d8b-9148-e3be6c30e623}">
          <xlrd:rvb i="40"/>
        </ext>
      </extLst>
    </bk>
    <bk>
      <extLst>
        <ext uri="{3e2802c4-a4d2-4d8b-9148-e3be6c30e623}">
          <xlrd:rvb i="41"/>
        </ext>
      </extLst>
    </bk>
    <bk>
      <extLst>
        <ext uri="{3e2802c4-a4d2-4d8b-9148-e3be6c30e623}">
          <xlrd:rvb i="42"/>
        </ext>
      </extLst>
    </bk>
    <bk>
      <extLst>
        <ext uri="{3e2802c4-a4d2-4d8b-9148-e3be6c30e623}">
          <xlrd:rvb i="43"/>
        </ext>
      </extLst>
    </bk>
    <bk>
      <extLst>
        <ext uri="{3e2802c4-a4d2-4d8b-9148-e3be6c30e623}">
          <xlrd:rvb i="44"/>
        </ext>
      </extLst>
    </bk>
    <bk>
      <extLst>
        <ext uri="{3e2802c4-a4d2-4d8b-9148-e3be6c30e623}">
          <xlrd:rvb i="45"/>
        </ext>
      </extLst>
    </bk>
    <bk>
      <extLst>
        <ext uri="{3e2802c4-a4d2-4d8b-9148-e3be6c30e623}">
          <xlrd:rvb i="46"/>
        </ext>
      </extLst>
    </bk>
    <bk>
      <extLst>
        <ext uri="{3e2802c4-a4d2-4d8b-9148-e3be6c30e623}">
          <xlrd:rvb i="47"/>
        </ext>
      </extLst>
    </bk>
    <bk>
      <extLst>
        <ext uri="{3e2802c4-a4d2-4d8b-9148-e3be6c30e623}">
          <xlrd:rvb i="48"/>
        </ext>
      </extLst>
    </bk>
    <bk>
      <extLst>
        <ext uri="{3e2802c4-a4d2-4d8b-9148-e3be6c30e623}">
          <xlrd:rvb i="49"/>
        </ext>
      </extLst>
    </bk>
    <bk>
      <extLst>
        <ext uri="{3e2802c4-a4d2-4d8b-9148-e3be6c30e623}">
          <xlrd:rvb i="50"/>
        </ext>
      </extLst>
    </bk>
    <bk>
      <extLst>
        <ext uri="{3e2802c4-a4d2-4d8b-9148-e3be6c30e623}">
          <xlrd:rvb i="51"/>
        </ext>
      </extLst>
    </bk>
    <bk>
      <extLst>
        <ext uri="{3e2802c4-a4d2-4d8b-9148-e3be6c30e623}">
          <xlrd:rvb i="52"/>
        </ext>
      </extLst>
    </bk>
    <bk>
      <extLst>
        <ext uri="{3e2802c4-a4d2-4d8b-9148-e3be6c30e623}">
          <xlrd:rvb i="53"/>
        </ext>
      </extLst>
    </bk>
    <bk>
      <extLst>
        <ext uri="{3e2802c4-a4d2-4d8b-9148-e3be6c30e623}">
          <xlrd:rvb i="54"/>
        </ext>
      </extLst>
    </bk>
    <bk>
      <extLst>
        <ext uri="{3e2802c4-a4d2-4d8b-9148-e3be6c30e623}">
          <xlrd:rvb i="55"/>
        </ext>
      </extLst>
    </bk>
    <bk>
      <extLst>
        <ext uri="{3e2802c4-a4d2-4d8b-9148-e3be6c30e623}">
          <xlrd:rvb i="56"/>
        </ext>
      </extLst>
    </bk>
    <bk>
      <extLst>
        <ext uri="{3e2802c4-a4d2-4d8b-9148-e3be6c30e623}">
          <xlrd:rvb i="57"/>
        </ext>
      </extLst>
    </bk>
    <bk>
      <extLst>
        <ext uri="{3e2802c4-a4d2-4d8b-9148-e3be6c30e623}">
          <xlrd:rvb i="58"/>
        </ext>
      </extLst>
    </bk>
    <bk>
      <extLst>
        <ext uri="{3e2802c4-a4d2-4d8b-9148-e3be6c30e623}">
          <xlrd:rvb i="59"/>
        </ext>
      </extLst>
    </bk>
    <bk>
      <extLst>
        <ext uri="{3e2802c4-a4d2-4d8b-9148-e3be6c30e623}">
          <xlrd:rvb i="60"/>
        </ext>
      </extLst>
    </bk>
    <bk>
      <extLst>
        <ext uri="{3e2802c4-a4d2-4d8b-9148-e3be6c30e623}">
          <xlrd:rvb i="61"/>
        </ext>
      </extLst>
    </bk>
    <bk>
      <extLst>
        <ext uri="{3e2802c4-a4d2-4d8b-9148-e3be6c30e623}">
          <xlrd:rvb i="62"/>
        </ext>
      </extLst>
    </bk>
    <bk>
      <extLst>
        <ext uri="{3e2802c4-a4d2-4d8b-9148-e3be6c30e623}">
          <xlrd:rvb i="63"/>
        </ext>
      </extLst>
    </bk>
    <bk>
      <extLst>
        <ext uri="{3e2802c4-a4d2-4d8b-9148-e3be6c30e623}">
          <xlrd:rvb i="64"/>
        </ext>
      </extLst>
    </bk>
    <bk>
      <extLst>
        <ext uri="{3e2802c4-a4d2-4d8b-9148-e3be6c30e623}">
          <xlrd:rvb i="65"/>
        </ext>
      </extLst>
    </bk>
    <bk>
      <extLst>
        <ext uri="{3e2802c4-a4d2-4d8b-9148-e3be6c30e623}">
          <xlrd:rvb i="66"/>
        </ext>
      </extLst>
    </bk>
    <bk>
      <extLst>
        <ext uri="{3e2802c4-a4d2-4d8b-9148-e3be6c30e623}">
          <xlrd:rvb i="67"/>
        </ext>
      </extLst>
    </bk>
    <bk>
      <extLst>
        <ext uri="{3e2802c4-a4d2-4d8b-9148-e3be6c30e623}">
          <xlrd:rvb i="68"/>
        </ext>
      </extLst>
    </bk>
    <bk>
      <extLst>
        <ext uri="{3e2802c4-a4d2-4d8b-9148-e3be6c30e623}">
          <xlrd:rvb i="69"/>
        </ext>
      </extLst>
    </bk>
    <bk>
      <extLst>
        <ext uri="{3e2802c4-a4d2-4d8b-9148-e3be6c30e623}">
          <xlrd:rvb i="70"/>
        </ext>
      </extLst>
    </bk>
    <bk>
      <extLst>
        <ext uri="{3e2802c4-a4d2-4d8b-9148-e3be6c30e623}">
          <xlrd:rvb i="71"/>
        </ext>
      </extLst>
    </bk>
    <bk>
      <extLst>
        <ext uri="{3e2802c4-a4d2-4d8b-9148-e3be6c30e623}">
          <xlrd:rvb i="72"/>
        </ext>
      </extLst>
    </bk>
    <bk>
      <extLst>
        <ext uri="{3e2802c4-a4d2-4d8b-9148-e3be6c30e623}">
          <xlrd:rvb i="73"/>
        </ext>
      </extLst>
    </bk>
    <bk>
      <extLst>
        <ext uri="{3e2802c4-a4d2-4d8b-9148-e3be6c30e623}">
          <xlrd:rvb i="74"/>
        </ext>
      </extLst>
    </bk>
    <bk>
      <extLst>
        <ext uri="{3e2802c4-a4d2-4d8b-9148-e3be6c30e623}">
          <xlrd:rvb i="75"/>
        </ext>
      </extLst>
    </bk>
    <bk>
      <extLst>
        <ext uri="{3e2802c4-a4d2-4d8b-9148-e3be6c30e623}">
          <xlrd:rvb i="76"/>
        </ext>
      </extLst>
    </bk>
    <bk>
      <extLst>
        <ext uri="{3e2802c4-a4d2-4d8b-9148-e3be6c30e623}">
          <xlrd:rvb i="77"/>
        </ext>
      </extLst>
    </bk>
    <bk>
      <extLst>
        <ext uri="{3e2802c4-a4d2-4d8b-9148-e3be6c30e623}">
          <xlrd:rvb i="78"/>
        </ext>
      </extLst>
    </bk>
    <bk>
      <extLst>
        <ext uri="{3e2802c4-a4d2-4d8b-9148-e3be6c30e623}">
          <xlrd:rvb i="79"/>
        </ext>
      </extLst>
    </bk>
    <bk>
      <extLst>
        <ext uri="{3e2802c4-a4d2-4d8b-9148-e3be6c30e623}">
          <xlrd:rvb i="80"/>
        </ext>
      </extLst>
    </bk>
    <bk>
      <extLst>
        <ext uri="{3e2802c4-a4d2-4d8b-9148-e3be6c30e623}">
          <xlrd:rvb i="81"/>
        </ext>
      </extLst>
    </bk>
    <bk>
      <extLst>
        <ext uri="{3e2802c4-a4d2-4d8b-9148-e3be6c30e623}">
          <xlrd:rvb i="82"/>
        </ext>
      </extLst>
    </bk>
    <bk>
      <extLst>
        <ext uri="{3e2802c4-a4d2-4d8b-9148-e3be6c30e623}">
          <xlrd:rvb i="83"/>
        </ext>
      </extLst>
    </bk>
    <bk>
      <extLst>
        <ext uri="{3e2802c4-a4d2-4d8b-9148-e3be6c30e623}">
          <xlrd:rvb i="84"/>
        </ext>
      </extLst>
    </bk>
    <bk>
      <extLst>
        <ext uri="{3e2802c4-a4d2-4d8b-9148-e3be6c30e623}">
          <xlrd:rvb i="85"/>
        </ext>
      </extLst>
    </bk>
    <bk>
      <extLst>
        <ext uri="{3e2802c4-a4d2-4d8b-9148-e3be6c30e623}">
          <xlrd:rvb i="86"/>
        </ext>
      </extLst>
    </bk>
    <bk>
      <extLst>
        <ext uri="{3e2802c4-a4d2-4d8b-9148-e3be6c30e623}">
          <xlrd:rvb i="87"/>
        </ext>
      </extLst>
    </bk>
    <bk>
      <extLst>
        <ext uri="{3e2802c4-a4d2-4d8b-9148-e3be6c30e623}">
          <xlrd:rvb i="88"/>
        </ext>
      </extLst>
    </bk>
    <bk>
      <extLst>
        <ext uri="{3e2802c4-a4d2-4d8b-9148-e3be6c30e623}">
          <xlrd:rvb i="89"/>
        </ext>
      </extLst>
    </bk>
    <bk>
      <extLst>
        <ext uri="{3e2802c4-a4d2-4d8b-9148-e3be6c30e623}">
          <xlrd:rvb i="90"/>
        </ext>
      </extLst>
    </bk>
    <bk>
      <extLst>
        <ext uri="{3e2802c4-a4d2-4d8b-9148-e3be6c30e623}">
          <xlrd:rvb i="91"/>
        </ext>
      </extLst>
    </bk>
    <bk>
      <extLst>
        <ext uri="{3e2802c4-a4d2-4d8b-9148-e3be6c30e623}">
          <xlrd:rvb i="92"/>
        </ext>
      </extLst>
    </bk>
    <bk>
      <extLst>
        <ext uri="{3e2802c4-a4d2-4d8b-9148-e3be6c30e623}">
          <xlrd:rvb i="93"/>
        </ext>
      </extLst>
    </bk>
    <bk>
      <extLst>
        <ext uri="{3e2802c4-a4d2-4d8b-9148-e3be6c30e623}">
          <xlrd:rvb i="94"/>
        </ext>
      </extLst>
    </bk>
    <bk>
      <extLst>
        <ext uri="{3e2802c4-a4d2-4d8b-9148-e3be6c30e623}">
          <xlrd:rvb i="95"/>
        </ext>
      </extLst>
    </bk>
    <bk>
      <extLst>
        <ext uri="{3e2802c4-a4d2-4d8b-9148-e3be6c30e623}">
          <xlrd:rvb i="96"/>
        </ext>
      </extLst>
    </bk>
    <bk>
      <extLst>
        <ext uri="{3e2802c4-a4d2-4d8b-9148-e3be6c30e623}">
          <xlrd:rvb i="97"/>
        </ext>
      </extLst>
    </bk>
    <bk>
      <extLst>
        <ext uri="{3e2802c4-a4d2-4d8b-9148-e3be6c30e623}">
          <xlrd:rvb i="98"/>
        </ext>
      </extLst>
    </bk>
    <bk>
      <extLst>
        <ext uri="{3e2802c4-a4d2-4d8b-9148-e3be6c30e623}">
          <xlrd:rvb i="99"/>
        </ext>
      </extLst>
    </bk>
    <bk>
      <extLst>
        <ext uri="{3e2802c4-a4d2-4d8b-9148-e3be6c30e623}">
          <xlrd:rvb i="100"/>
        </ext>
      </extLst>
    </bk>
    <bk>
      <extLst>
        <ext uri="{3e2802c4-a4d2-4d8b-9148-e3be6c30e623}">
          <xlrd:rvb i="101"/>
        </ext>
      </extLst>
    </bk>
    <bk>
      <extLst>
        <ext uri="{3e2802c4-a4d2-4d8b-9148-e3be6c30e623}">
          <xlrd:rvb i="102"/>
        </ext>
      </extLst>
    </bk>
    <bk>
      <extLst>
        <ext uri="{3e2802c4-a4d2-4d8b-9148-e3be6c30e623}">
          <xlrd:rvb i="103"/>
        </ext>
      </extLst>
    </bk>
    <bk>
      <extLst>
        <ext uri="{3e2802c4-a4d2-4d8b-9148-e3be6c30e623}">
          <xlrd:rvb i="104"/>
        </ext>
      </extLst>
    </bk>
    <bk>
      <extLst>
        <ext uri="{3e2802c4-a4d2-4d8b-9148-e3be6c30e623}">
          <xlrd:rvb i="105"/>
        </ext>
      </extLst>
    </bk>
    <bk>
      <extLst>
        <ext uri="{3e2802c4-a4d2-4d8b-9148-e3be6c30e623}">
          <xlrd:rvb i="106"/>
        </ext>
      </extLst>
    </bk>
    <bk>
      <extLst>
        <ext uri="{3e2802c4-a4d2-4d8b-9148-e3be6c30e623}">
          <xlrd:rvb i="107"/>
        </ext>
      </extLst>
    </bk>
    <bk>
      <extLst>
        <ext uri="{3e2802c4-a4d2-4d8b-9148-e3be6c30e623}">
          <xlrd:rvb i="108"/>
        </ext>
      </extLst>
    </bk>
    <bk>
      <extLst>
        <ext uri="{3e2802c4-a4d2-4d8b-9148-e3be6c30e623}">
          <xlrd:rvb i="109"/>
        </ext>
      </extLst>
    </bk>
    <bk>
      <extLst>
        <ext uri="{3e2802c4-a4d2-4d8b-9148-e3be6c30e623}">
          <xlrd:rvb i="110"/>
        </ext>
      </extLst>
    </bk>
    <bk>
      <extLst>
        <ext uri="{3e2802c4-a4d2-4d8b-9148-e3be6c30e623}">
          <xlrd:rvb i="111"/>
        </ext>
      </extLst>
    </bk>
    <bk>
      <extLst>
        <ext uri="{3e2802c4-a4d2-4d8b-9148-e3be6c30e623}">
          <xlrd:rvb i="112"/>
        </ext>
      </extLst>
    </bk>
    <bk>
      <extLst>
        <ext uri="{3e2802c4-a4d2-4d8b-9148-e3be6c30e623}">
          <xlrd:rvb i="113"/>
        </ext>
      </extLst>
    </bk>
    <bk>
      <extLst>
        <ext uri="{3e2802c4-a4d2-4d8b-9148-e3be6c30e623}">
          <xlrd:rvb i="114"/>
        </ext>
      </extLst>
    </bk>
    <bk>
      <extLst>
        <ext uri="{3e2802c4-a4d2-4d8b-9148-e3be6c30e623}">
          <xlrd:rvb i="115"/>
        </ext>
      </extLst>
    </bk>
    <bk>
      <extLst>
        <ext uri="{3e2802c4-a4d2-4d8b-9148-e3be6c30e623}">
          <xlrd:rvb i="116"/>
        </ext>
      </extLst>
    </bk>
    <bk>
      <extLst>
        <ext uri="{3e2802c4-a4d2-4d8b-9148-e3be6c30e623}">
          <xlrd:rvb i="117"/>
        </ext>
      </extLst>
    </bk>
    <bk>
      <extLst>
        <ext uri="{3e2802c4-a4d2-4d8b-9148-e3be6c30e623}">
          <xlrd:rvb i="118"/>
        </ext>
      </extLst>
    </bk>
    <bk>
      <extLst>
        <ext uri="{3e2802c4-a4d2-4d8b-9148-e3be6c30e623}">
          <xlrd:rvb i="119"/>
        </ext>
      </extLst>
    </bk>
    <bk>
      <extLst>
        <ext uri="{3e2802c4-a4d2-4d8b-9148-e3be6c30e623}">
          <xlrd:rvb i="120"/>
        </ext>
      </extLst>
    </bk>
    <bk>
      <extLst>
        <ext uri="{3e2802c4-a4d2-4d8b-9148-e3be6c30e623}">
          <xlrd:rvb i="121"/>
        </ext>
      </extLst>
    </bk>
    <bk>
      <extLst>
        <ext uri="{3e2802c4-a4d2-4d8b-9148-e3be6c30e623}">
          <xlrd:rvb i="122"/>
        </ext>
      </extLst>
    </bk>
    <bk>
      <extLst>
        <ext uri="{3e2802c4-a4d2-4d8b-9148-e3be6c30e623}">
          <xlrd:rvb i="123"/>
        </ext>
      </extLst>
    </bk>
    <bk>
      <extLst>
        <ext uri="{3e2802c4-a4d2-4d8b-9148-e3be6c30e623}">
          <xlrd:rvb i="124"/>
        </ext>
      </extLst>
    </bk>
    <bk>
      <extLst>
        <ext uri="{3e2802c4-a4d2-4d8b-9148-e3be6c30e623}">
          <xlrd:rvb i="125"/>
        </ext>
      </extLst>
    </bk>
    <bk>
      <extLst>
        <ext uri="{3e2802c4-a4d2-4d8b-9148-e3be6c30e623}">
          <xlrd:rvb i="126"/>
        </ext>
      </extLst>
    </bk>
    <bk>
      <extLst>
        <ext uri="{3e2802c4-a4d2-4d8b-9148-e3be6c30e623}">
          <xlrd:rvb i="127"/>
        </ext>
      </extLst>
    </bk>
    <bk>
      <extLst>
        <ext uri="{3e2802c4-a4d2-4d8b-9148-e3be6c30e623}">
          <xlrd:rvb i="128"/>
        </ext>
      </extLst>
    </bk>
    <bk>
      <extLst>
        <ext uri="{3e2802c4-a4d2-4d8b-9148-e3be6c30e623}">
          <xlrd:rvb i="129"/>
        </ext>
      </extLst>
    </bk>
    <bk>
      <extLst>
        <ext uri="{3e2802c4-a4d2-4d8b-9148-e3be6c30e623}">
          <xlrd:rvb i="130"/>
        </ext>
      </extLst>
    </bk>
    <bk>
      <extLst>
        <ext uri="{3e2802c4-a4d2-4d8b-9148-e3be6c30e623}">
          <xlrd:rvb i="131"/>
        </ext>
      </extLst>
    </bk>
    <bk>
      <extLst>
        <ext uri="{3e2802c4-a4d2-4d8b-9148-e3be6c30e623}">
          <xlrd:rvb i="132"/>
        </ext>
      </extLst>
    </bk>
    <bk>
      <extLst>
        <ext uri="{3e2802c4-a4d2-4d8b-9148-e3be6c30e623}">
          <xlrd:rvb i="133"/>
        </ext>
      </extLst>
    </bk>
    <bk>
      <extLst>
        <ext uri="{3e2802c4-a4d2-4d8b-9148-e3be6c30e623}">
          <xlrd:rvb i="134"/>
        </ext>
      </extLst>
    </bk>
    <bk>
      <extLst>
        <ext uri="{3e2802c4-a4d2-4d8b-9148-e3be6c30e623}">
          <xlrd:rvb i="135"/>
        </ext>
      </extLst>
    </bk>
    <bk>
      <extLst>
        <ext uri="{3e2802c4-a4d2-4d8b-9148-e3be6c30e623}">
          <xlrd:rvb i="136"/>
        </ext>
      </extLst>
    </bk>
    <bk>
      <extLst>
        <ext uri="{3e2802c4-a4d2-4d8b-9148-e3be6c30e623}">
          <xlrd:rvb i="137"/>
        </ext>
      </extLst>
    </bk>
    <bk>
      <extLst>
        <ext uri="{3e2802c4-a4d2-4d8b-9148-e3be6c30e623}">
          <xlrd:rvb i="138"/>
        </ext>
      </extLst>
    </bk>
    <bk>
      <extLst>
        <ext uri="{3e2802c4-a4d2-4d8b-9148-e3be6c30e623}">
          <xlrd:rvb i="139"/>
        </ext>
      </extLst>
    </bk>
    <bk>
      <extLst>
        <ext uri="{3e2802c4-a4d2-4d8b-9148-e3be6c30e623}">
          <xlrd:rvb i="140"/>
        </ext>
      </extLst>
    </bk>
    <bk>
      <extLst>
        <ext uri="{3e2802c4-a4d2-4d8b-9148-e3be6c30e623}">
          <xlrd:rvb i="141"/>
        </ext>
      </extLst>
    </bk>
    <bk>
      <extLst>
        <ext uri="{3e2802c4-a4d2-4d8b-9148-e3be6c30e623}">
          <xlrd:rvb i="142"/>
        </ext>
      </extLst>
    </bk>
    <bk>
      <extLst>
        <ext uri="{3e2802c4-a4d2-4d8b-9148-e3be6c30e623}">
          <xlrd:rvb i="143"/>
        </ext>
      </extLst>
    </bk>
    <bk>
      <extLst>
        <ext uri="{3e2802c4-a4d2-4d8b-9148-e3be6c30e623}">
          <xlrd:rvb i="144"/>
        </ext>
      </extLst>
    </bk>
    <bk>
      <extLst>
        <ext uri="{3e2802c4-a4d2-4d8b-9148-e3be6c30e623}">
          <xlrd:rvb i="145"/>
        </ext>
      </extLst>
    </bk>
    <bk>
      <extLst>
        <ext uri="{3e2802c4-a4d2-4d8b-9148-e3be6c30e623}">
          <xlrd:rvb i="146"/>
        </ext>
      </extLst>
    </bk>
    <bk>
      <extLst>
        <ext uri="{3e2802c4-a4d2-4d8b-9148-e3be6c30e623}">
          <xlrd:rvb i="147"/>
        </ext>
      </extLst>
    </bk>
    <bk>
      <extLst>
        <ext uri="{3e2802c4-a4d2-4d8b-9148-e3be6c30e623}">
          <xlrd:rvb i="148"/>
        </ext>
      </extLst>
    </bk>
    <bk>
      <extLst>
        <ext uri="{3e2802c4-a4d2-4d8b-9148-e3be6c30e623}">
          <xlrd:rvb i="149"/>
        </ext>
      </extLst>
    </bk>
    <bk>
      <extLst>
        <ext uri="{3e2802c4-a4d2-4d8b-9148-e3be6c30e623}">
          <xlrd:rvb i="150"/>
        </ext>
      </extLst>
    </bk>
    <bk>
      <extLst>
        <ext uri="{3e2802c4-a4d2-4d8b-9148-e3be6c30e623}">
          <xlrd:rvb i="151"/>
        </ext>
      </extLst>
    </bk>
    <bk>
      <extLst>
        <ext uri="{3e2802c4-a4d2-4d8b-9148-e3be6c30e623}">
          <xlrd:rvb i="152"/>
        </ext>
      </extLst>
    </bk>
    <bk>
      <extLst>
        <ext uri="{3e2802c4-a4d2-4d8b-9148-e3be6c30e623}">
          <xlrd:rvb i="153"/>
        </ext>
      </extLst>
    </bk>
    <bk>
      <extLst>
        <ext uri="{3e2802c4-a4d2-4d8b-9148-e3be6c30e623}">
          <xlrd:rvb i="154"/>
        </ext>
      </extLst>
    </bk>
    <bk>
      <extLst>
        <ext uri="{3e2802c4-a4d2-4d8b-9148-e3be6c30e623}">
          <xlrd:rvb i="155"/>
        </ext>
      </extLst>
    </bk>
    <bk>
      <extLst>
        <ext uri="{3e2802c4-a4d2-4d8b-9148-e3be6c30e623}">
          <xlrd:rvb i="156"/>
        </ext>
      </extLst>
    </bk>
    <bk>
      <extLst>
        <ext uri="{3e2802c4-a4d2-4d8b-9148-e3be6c30e623}">
          <xlrd:rvb i="157"/>
        </ext>
      </extLst>
    </bk>
    <bk>
      <extLst>
        <ext uri="{3e2802c4-a4d2-4d8b-9148-e3be6c30e623}">
          <xlrd:rvb i="158"/>
        </ext>
      </extLst>
    </bk>
    <bk>
      <extLst>
        <ext uri="{3e2802c4-a4d2-4d8b-9148-e3be6c30e623}">
          <xlrd:rvb i="159"/>
        </ext>
      </extLst>
    </bk>
    <bk>
      <extLst>
        <ext uri="{3e2802c4-a4d2-4d8b-9148-e3be6c30e623}">
          <xlrd:rvb i="160"/>
        </ext>
      </extLst>
    </bk>
    <bk>
      <extLst>
        <ext uri="{3e2802c4-a4d2-4d8b-9148-e3be6c30e623}">
          <xlrd:rvb i="161"/>
        </ext>
      </extLst>
    </bk>
    <bk>
      <extLst>
        <ext uri="{3e2802c4-a4d2-4d8b-9148-e3be6c30e623}">
          <xlrd:rvb i="162"/>
        </ext>
      </extLst>
    </bk>
    <bk>
      <extLst>
        <ext uri="{3e2802c4-a4d2-4d8b-9148-e3be6c30e623}">
          <xlrd:rvb i="163"/>
        </ext>
      </extLst>
    </bk>
    <bk>
      <extLst>
        <ext uri="{3e2802c4-a4d2-4d8b-9148-e3be6c30e623}">
          <xlrd:rvb i="164"/>
        </ext>
      </extLst>
    </bk>
    <bk>
      <extLst>
        <ext uri="{3e2802c4-a4d2-4d8b-9148-e3be6c30e623}">
          <xlrd:rvb i="165"/>
        </ext>
      </extLst>
    </bk>
    <bk>
      <extLst>
        <ext uri="{3e2802c4-a4d2-4d8b-9148-e3be6c30e623}">
          <xlrd:rvb i="166"/>
        </ext>
      </extLst>
    </bk>
    <bk>
      <extLst>
        <ext uri="{3e2802c4-a4d2-4d8b-9148-e3be6c30e623}">
          <xlrd:rvb i="167"/>
        </ext>
      </extLst>
    </bk>
    <bk>
      <extLst>
        <ext uri="{3e2802c4-a4d2-4d8b-9148-e3be6c30e623}">
          <xlrd:rvb i="168"/>
        </ext>
      </extLst>
    </bk>
    <bk>
      <extLst>
        <ext uri="{3e2802c4-a4d2-4d8b-9148-e3be6c30e623}">
          <xlrd:rvb i="169"/>
        </ext>
      </extLst>
    </bk>
    <bk>
      <extLst>
        <ext uri="{3e2802c4-a4d2-4d8b-9148-e3be6c30e623}">
          <xlrd:rvb i="170"/>
        </ext>
      </extLst>
    </bk>
    <bk>
      <extLst>
        <ext uri="{3e2802c4-a4d2-4d8b-9148-e3be6c30e623}">
          <xlrd:rvb i="171"/>
        </ext>
      </extLst>
    </bk>
    <bk>
      <extLst>
        <ext uri="{3e2802c4-a4d2-4d8b-9148-e3be6c30e623}">
          <xlrd:rvb i="172"/>
        </ext>
      </extLst>
    </bk>
    <bk>
      <extLst>
        <ext uri="{3e2802c4-a4d2-4d8b-9148-e3be6c30e623}">
          <xlrd:rvb i="173"/>
        </ext>
      </extLst>
    </bk>
    <bk>
      <extLst>
        <ext uri="{3e2802c4-a4d2-4d8b-9148-e3be6c30e623}">
          <xlrd:rvb i="174"/>
        </ext>
      </extLst>
    </bk>
    <bk>
      <extLst>
        <ext uri="{3e2802c4-a4d2-4d8b-9148-e3be6c30e623}">
          <xlrd:rvb i="175"/>
        </ext>
      </extLst>
    </bk>
    <bk>
      <extLst>
        <ext uri="{3e2802c4-a4d2-4d8b-9148-e3be6c30e623}">
          <xlrd:rvb i="176"/>
        </ext>
      </extLst>
    </bk>
    <bk>
      <extLst>
        <ext uri="{3e2802c4-a4d2-4d8b-9148-e3be6c30e623}">
          <xlrd:rvb i="177"/>
        </ext>
      </extLst>
    </bk>
    <bk>
      <extLst>
        <ext uri="{3e2802c4-a4d2-4d8b-9148-e3be6c30e623}">
          <xlrd:rvb i="178"/>
        </ext>
      </extLst>
    </bk>
    <bk>
      <extLst>
        <ext uri="{3e2802c4-a4d2-4d8b-9148-e3be6c30e623}">
          <xlrd:rvb i="179"/>
        </ext>
      </extLst>
    </bk>
    <bk>
      <extLst>
        <ext uri="{3e2802c4-a4d2-4d8b-9148-e3be6c30e623}">
          <xlrd:rvb i="180"/>
        </ext>
      </extLst>
    </bk>
    <bk>
      <extLst>
        <ext uri="{3e2802c4-a4d2-4d8b-9148-e3be6c30e623}">
          <xlrd:rvb i="181"/>
        </ext>
      </extLst>
    </bk>
    <bk>
      <extLst>
        <ext uri="{3e2802c4-a4d2-4d8b-9148-e3be6c30e623}">
          <xlrd:rvb i="182"/>
        </ext>
      </extLst>
    </bk>
    <bk>
      <extLst>
        <ext uri="{3e2802c4-a4d2-4d8b-9148-e3be6c30e623}">
          <xlrd:rvb i="183"/>
        </ext>
      </extLst>
    </bk>
    <bk>
      <extLst>
        <ext uri="{3e2802c4-a4d2-4d8b-9148-e3be6c30e623}">
          <xlrd:rvb i="184"/>
        </ext>
      </extLst>
    </bk>
    <bk>
      <extLst>
        <ext uri="{3e2802c4-a4d2-4d8b-9148-e3be6c30e623}">
          <xlrd:rvb i="185"/>
        </ext>
      </extLst>
    </bk>
    <bk>
      <extLst>
        <ext uri="{3e2802c4-a4d2-4d8b-9148-e3be6c30e623}">
          <xlrd:rvb i="186"/>
        </ext>
      </extLst>
    </bk>
    <bk>
      <extLst>
        <ext uri="{3e2802c4-a4d2-4d8b-9148-e3be6c30e623}">
          <xlrd:rvb i="187"/>
        </ext>
      </extLst>
    </bk>
    <bk>
      <extLst>
        <ext uri="{3e2802c4-a4d2-4d8b-9148-e3be6c30e623}">
          <xlrd:rvb i="188"/>
        </ext>
      </extLst>
    </bk>
    <bk>
      <extLst>
        <ext uri="{3e2802c4-a4d2-4d8b-9148-e3be6c30e623}">
          <xlrd:rvb i="189"/>
        </ext>
      </extLst>
    </bk>
    <bk>
      <extLst>
        <ext uri="{3e2802c4-a4d2-4d8b-9148-e3be6c30e623}">
          <xlrd:rvb i="190"/>
        </ext>
      </extLst>
    </bk>
    <bk>
      <extLst>
        <ext uri="{3e2802c4-a4d2-4d8b-9148-e3be6c30e623}">
          <xlrd:rvb i="191"/>
        </ext>
      </extLst>
    </bk>
    <bk>
      <extLst>
        <ext uri="{3e2802c4-a4d2-4d8b-9148-e3be6c30e623}">
          <xlrd:rvb i="192"/>
        </ext>
      </extLst>
    </bk>
    <bk>
      <extLst>
        <ext uri="{3e2802c4-a4d2-4d8b-9148-e3be6c30e623}">
          <xlrd:rvb i="193"/>
        </ext>
      </extLst>
    </bk>
    <bk>
      <extLst>
        <ext uri="{3e2802c4-a4d2-4d8b-9148-e3be6c30e623}">
          <xlrd:rvb i="194"/>
        </ext>
      </extLst>
    </bk>
    <bk>
      <extLst>
        <ext uri="{3e2802c4-a4d2-4d8b-9148-e3be6c30e623}">
          <xlrd:rvb i="195"/>
        </ext>
      </extLst>
    </bk>
    <bk>
      <extLst>
        <ext uri="{3e2802c4-a4d2-4d8b-9148-e3be6c30e623}">
          <xlrd:rvb i="196"/>
        </ext>
      </extLst>
    </bk>
    <bk>
      <extLst>
        <ext uri="{3e2802c4-a4d2-4d8b-9148-e3be6c30e623}">
          <xlrd:rvb i="197"/>
        </ext>
      </extLst>
    </bk>
    <bk>
      <extLst>
        <ext uri="{3e2802c4-a4d2-4d8b-9148-e3be6c30e623}">
          <xlrd:rvb i="198"/>
        </ext>
      </extLst>
    </bk>
    <bk>
      <extLst>
        <ext uri="{3e2802c4-a4d2-4d8b-9148-e3be6c30e623}">
          <xlrd:rvb i="199"/>
        </ext>
      </extLst>
    </bk>
    <bk>
      <extLst>
        <ext uri="{3e2802c4-a4d2-4d8b-9148-e3be6c30e623}">
          <xlrd:rvb i="200"/>
        </ext>
      </extLst>
    </bk>
    <bk>
      <extLst>
        <ext uri="{3e2802c4-a4d2-4d8b-9148-e3be6c30e623}">
          <xlrd:rvb i="201"/>
        </ext>
      </extLst>
    </bk>
    <bk>
      <extLst>
        <ext uri="{3e2802c4-a4d2-4d8b-9148-e3be6c30e623}">
          <xlrd:rvb i="202"/>
        </ext>
      </extLst>
    </bk>
    <bk>
      <extLst>
        <ext uri="{3e2802c4-a4d2-4d8b-9148-e3be6c30e623}">
          <xlrd:rvb i="203"/>
        </ext>
      </extLst>
    </bk>
    <bk>
      <extLst>
        <ext uri="{3e2802c4-a4d2-4d8b-9148-e3be6c30e623}">
          <xlrd:rvb i="204"/>
        </ext>
      </extLst>
    </bk>
    <bk>
      <extLst>
        <ext uri="{3e2802c4-a4d2-4d8b-9148-e3be6c30e623}">
          <xlrd:rvb i="205"/>
        </ext>
      </extLst>
    </bk>
    <bk>
      <extLst>
        <ext uri="{3e2802c4-a4d2-4d8b-9148-e3be6c30e623}">
          <xlrd:rvb i="206"/>
        </ext>
      </extLst>
    </bk>
    <bk>
      <extLst>
        <ext uri="{3e2802c4-a4d2-4d8b-9148-e3be6c30e623}">
          <xlrd:rvb i="207"/>
        </ext>
      </extLst>
    </bk>
    <bk>
      <extLst>
        <ext uri="{3e2802c4-a4d2-4d8b-9148-e3be6c30e623}">
          <xlrd:rvb i="208"/>
        </ext>
      </extLst>
    </bk>
    <bk>
      <extLst>
        <ext uri="{3e2802c4-a4d2-4d8b-9148-e3be6c30e623}">
          <xlrd:rvb i="209"/>
        </ext>
      </extLst>
    </bk>
    <bk>
      <extLst>
        <ext uri="{3e2802c4-a4d2-4d8b-9148-e3be6c30e623}">
          <xlrd:rvb i="210"/>
        </ext>
      </extLst>
    </bk>
    <bk>
      <extLst>
        <ext uri="{3e2802c4-a4d2-4d8b-9148-e3be6c30e623}">
          <xlrd:rvb i="211"/>
        </ext>
      </extLst>
    </bk>
    <bk>
      <extLst>
        <ext uri="{3e2802c4-a4d2-4d8b-9148-e3be6c30e623}">
          <xlrd:rvb i="212"/>
        </ext>
      </extLst>
    </bk>
    <bk>
      <extLst>
        <ext uri="{3e2802c4-a4d2-4d8b-9148-e3be6c30e623}">
          <xlrd:rvb i="213"/>
        </ext>
      </extLst>
    </bk>
    <bk>
      <extLst>
        <ext uri="{3e2802c4-a4d2-4d8b-9148-e3be6c30e623}">
          <xlrd:rvb i="214"/>
        </ext>
      </extLst>
    </bk>
    <bk>
      <extLst>
        <ext uri="{3e2802c4-a4d2-4d8b-9148-e3be6c30e623}">
          <xlrd:rvb i="215"/>
        </ext>
      </extLst>
    </bk>
    <bk>
      <extLst>
        <ext uri="{3e2802c4-a4d2-4d8b-9148-e3be6c30e623}">
          <xlrd:rvb i="216"/>
        </ext>
      </extLst>
    </bk>
    <bk>
      <extLst>
        <ext uri="{3e2802c4-a4d2-4d8b-9148-e3be6c30e623}">
          <xlrd:rvb i="217"/>
        </ext>
      </extLst>
    </bk>
    <bk>
      <extLst>
        <ext uri="{3e2802c4-a4d2-4d8b-9148-e3be6c30e623}">
          <xlrd:rvb i="218"/>
        </ext>
      </extLst>
    </bk>
    <bk>
      <extLst>
        <ext uri="{3e2802c4-a4d2-4d8b-9148-e3be6c30e623}">
          <xlrd:rvb i="219"/>
        </ext>
      </extLst>
    </bk>
    <bk>
      <extLst>
        <ext uri="{3e2802c4-a4d2-4d8b-9148-e3be6c30e623}">
          <xlrd:rvb i="220"/>
        </ext>
      </extLst>
    </bk>
    <bk>
      <extLst>
        <ext uri="{3e2802c4-a4d2-4d8b-9148-e3be6c30e623}">
          <xlrd:rvb i="221"/>
        </ext>
      </extLst>
    </bk>
    <bk>
      <extLst>
        <ext uri="{3e2802c4-a4d2-4d8b-9148-e3be6c30e623}">
          <xlrd:rvb i="222"/>
        </ext>
      </extLst>
    </bk>
    <bk>
      <extLst>
        <ext uri="{3e2802c4-a4d2-4d8b-9148-e3be6c30e623}">
          <xlrd:rvb i="223"/>
        </ext>
      </extLst>
    </bk>
    <bk>
      <extLst>
        <ext uri="{3e2802c4-a4d2-4d8b-9148-e3be6c30e623}">
          <xlrd:rvb i="224"/>
        </ext>
      </extLst>
    </bk>
    <bk>
      <extLst>
        <ext uri="{3e2802c4-a4d2-4d8b-9148-e3be6c30e623}">
          <xlrd:rvb i="225"/>
        </ext>
      </extLst>
    </bk>
    <bk>
      <extLst>
        <ext uri="{3e2802c4-a4d2-4d8b-9148-e3be6c30e623}">
          <xlrd:rvb i="226"/>
        </ext>
      </extLst>
    </bk>
    <bk>
      <extLst>
        <ext uri="{3e2802c4-a4d2-4d8b-9148-e3be6c30e623}">
          <xlrd:rvb i="227"/>
        </ext>
      </extLst>
    </bk>
    <bk>
      <extLst>
        <ext uri="{3e2802c4-a4d2-4d8b-9148-e3be6c30e623}">
          <xlrd:rvb i="228"/>
        </ext>
      </extLst>
    </bk>
    <bk>
      <extLst>
        <ext uri="{3e2802c4-a4d2-4d8b-9148-e3be6c30e623}">
          <xlrd:rvb i="229"/>
        </ext>
      </extLst>
    </bk>
    <bk>
      <extLst>
        <ext uri="{3e2802c4-a4d2-4d8b-9148-e3be6c30e623}">
          <xlrd:rvb i="230"/>
        </ext>
      </extLst>
    </bk>
    <bk>
      <extLst>
        <ext uri="{3e2802c4-a4d2-4d8b-9148-e3be6c30e623}">
          <xlrd:rvb i="231"/>
        </ext>
      </extLst>
    </bk>
    <bk>
      <extLst>
        <ext uri="{3e2802c4-a4d2-4d8b-9148-e3be6c30e623}">
          <xlrd:rvb i="232"/>
        </ext>
      </extLst>
    </bk>
    <bk>
      <extLst>
        <ext uri="{3e2802c4-a4d2-4d8b-9148-e3be6c30e623}">
          <xlrd:rvb i="233"/>
        </ext>
      </extLst>
    </bk>
    <bk>
      <extLst>
        <ext uri="{3e2802c4-a4d2-4d8b-9148-e3be6c30e623}">
          <xlrd:rvb i="234"/>
        </ext>
      </extLst>
    </bk>
    <bk>
      <extLst>
        <ext uri="{3e2802c4-a4d2-4d8b-9148-e3be6c30e623}">
          <xlrd:rvb i="235"/>
        </ext>
      </extLst>
    </bk>
    <bk>
      <extLst>
        <ext uri="{3e2802c4-a4d2-4d8b-9148-e3be6c30e623}">
          <xlrd:rvb i="236"/>
        </ext>
      </extLst>
    </bk>
    <bk>
      <extLst>
        <ext uri="{3e2802c4-a4d2-4d8b-9148-e3be6c30e623}">
          <xlrd:rvb i="237"/>
        </ext>
      </extLst>
    </bk>
    <bk>
      <extLst>
        <ext uri="{3e2802c4-a4d2-4d8b-9148-e3be6c30e623}">
          <xlrd:rvb i="238"/>
        </ext>
      </extLst>
    </bk>
    <bk>
      <extLst>
        <ext uri="{3e2802c4-a4d2-4d8b-9148-e3be6c30e623}">
          <xlrd:rvb i="239"/>
        </ext>
      </extLst>
    </bk>
    <bk>
      <extLst>
        <ext uri="{3e2802c4-a4d2-4d8b-9148-e3be6c30e623}">
          <xlrd:rvb i="240"/>
        </ext>
      </extLst>
    </bk>
    <bk>
      <extLst>
        <ext uri="{3e2802c4-a4d2-4d8b-9148-e3be6c30e623}">
          <xlrd:rvb i="241"/>
        </ext>
      </extLst>
    </bk>
    <bk>
      <extLst>
        <ext uri="{3e2802c4-a4d2-4d8b-9148-e3be6c30e623}">
          <xlrd:rvb i="242"/>
        </ext>
      </extLst>
    </bk>
    <bk>
      <extLst>
        <ext uri="{3e2802c4-a4d2-4d8b-9148-e3be6c30e623}">
          <xlrd:rvb i="243"/>
        </ext>
      </extLst>
    </bk>
    <bk>
      <extLst>
        <ext uri="{3e2802c4-a4d2-4d8b-9148-e3be6c30e623}">
          <xlrd:rvb i="244"/>
        </ext>
      </extLst>
    </bk>
    <bk>
      <extLst>
        <ext uri="{3e2802c4-a4d2-4d8b-9148-e3be6c30e623}">
          <xlrd:rvb i="245"/>
        </ext>
      </extLst>
    </bk>
    <bk>
      <extLst>
        <ext uri="{3e2802c4-a4d2-4d8b-9148-e3be6c30e623}">
          <xlrd:rvb i="246"/>
        </ext>
      </extLst>
    </bk>
    <bk>
      <extLst>
        <ext uri="{3e2802c4-a4d2-4d8b-9148-e3be6c30e623}">
          <xlrd:rvb i="247"/>
        </ext>
      </extLst>
    </bk>
    <bk>
      <extLst>
        <ext uri="{3e2802c4-a4d2-4d8b-9148-e3be6c30e623}">
          <xlrd:rvb i="248"/>
        </ext>
      </extLst>
    </bk>
    <bk>
      <extLst>
        <ext uri="{3e2802c4-a4d2-4d8b-9148-e3be6c30e623}">
          <xlrd:rvb i="249"/>
        </ext>
      </extLst>
    </bk>
    <bk>
      <extLst>
        <ext uri="{3e2802c4-a4d2-4d8b-9148-e3be6c30e623}">
          <xlrd:rvb i="250"/>
        </ext>
      </extLst>
    </bk>
    <bk>
      <extLst>
        <ext uri="{3e2802c4-a4d2-4d8b-9148-e3be6c30e623}">
          <xlrd:rvb i="251"/>
        </ext>
      </extLst>
    </bk>
    <bk>
      <extLst>
        <ext uri="{3e2802c4-a4d2-4d8b-9148-e3be6c30e623}">
          <xlrd:rvb i="252"/>
        </ext>
      </extLst>
    </bk>
    <bk>
      <extLst>
        <ext uri="{3e2802c4-a4d2-4d8b-9148-e3be6c30e623}">
          <xlrd:rvb i="253"/>
        </ext>
      </extLst>
    </bk>
    <bk>
      <extLst>
        <ext uri="{3e2802c4-a4d2-4d8b-9148-e3be6c30e623}">
          <xlrd:rvb i="254"/>
        </ext>
      </extLst>
    </bk>
    <bk>
      <extLst>
        <ext uri="{3e2802c4-a4d2-4d8b-9148-e3be6c30e623}">
          <xlrd:rvb i="255"/>
        </ext>
      </extLst>
    </bk>
    <bk>
      <extLst>
        <ext uri="{3e2802c4-a4d2-4d8b-9148-e3be6c30e623}">
          <xlrd:rvb i="256"/>
        </ext>
      </extLst>
    </bk>
    <bk>
      <extLst>
        <ext uri="{3e2802c4-a4d2-4d8b-9148-e3be6c30e623}">
          <xlrd:rvb i="257"/>
        </ext>
      </extLst>
    </bk>
    <bk>
      <extLst>
        <ext uri="{3e2802c4-a4d2-4d8b-9148-e3be6c30e623}">
          <xlrd:rvb i="258"/>
        </ext>
      </extLst>
    </bk>
    <bk>
      <extLst>
        <ext uri="{3e2802c4-a4d2-4d8b-9148-e3be6c30e623}">
          <xlrd:rvb i="259"/>
        </ext>
      </extLst>
    </bk>
    <bk>
      <extLst>
        <ext uri="{3e2802c4-a4d2-4d8b-9148-e3be6c30e623}">
          <xlrd:rvb i="260"/>
        </ext>
      </extLst>
    </bk>
    <bk>
      <extLst>
        <ext uri="{3e2802c4-a4d2-4d8b-9148-e3be6c30e623}">
          <xlrd:rvb i="261"/>
        </ext>
      </extLst>
    </bk>
    <bk>
      <extLst>
        <ext uri="{3e2802c4-a4d2-4d8b-9148-e3be6c30e623}">
          <xlrd:rvb i="262"/>
        </ext>
      </extLst>
    </bk>
    <bk>
      <extLst>
        <ext uri="{3e2802c4-a4d2-4d8b-9148-e3be6c30e623}">
          <xlrd:rvb i="263"/>
        </ext>
      </extLst>
    </bk>
    <bk>
      <extLst>
        <ext uri="{3e2802c4-a4d2-4d8b-9148-e3be6c30e623}">
          <xlrd:rvb i="264"/>
        </ext>
      </extLst>
    </bk>
    <bk>
      <extLst>
        <ext uri="{3e2802c4-a4d2-4d8b-9148-e3be6c30e623}">
          <xlrd:rvb i="265"/>
        </ext>
      </extLst>
    </bk>
    <bk>
      <extLst>
        <ext uri="{3e2802c4-a4d2-4d8b-9148-e3be6c30e623}">
          <xlrd:rvb i="266"/>
        </ext>
      </extLst>
    </bk>
    <bk>
      <extLst>
        <ext uri="{3e2802c4-a4d2-4d8b-9148-e3be6c30e623}">
          <xlrd:rvb i="267"/>
        </ext>
      </extLst>
    </bk>
    <bk>
      <extLst>
        <ext uri="{3e2802c4-a4d2-4d8b-9148-e3be6c30e623}">
          <xlrd:rvb i="268"/>
        </ext>
      </extLst>
    </bk>
    <bk>
      <extLst>
        <ext uri="{3e2802c4-a4d2-4d8b-9148-e3be6c30e623}">
          <xlrd:rvb i="269"/>
        </ext>
      </extLst>
    </bk>
    <bk>
      <extLst>
        <ext uri="{3e2802c4-a4d2-4d8b-9148-e3be6c30e623}">
          <xlrd:rvb i="270"/>
        </ext>
      </extLst>
    </bk>
    <bk>
      <extLst>
        <ext uri="{3e2802c4-a4d2-4d8b-9148-e3be6c30e623}">
          <xlrd:rvb i="271"/>
        </ext>
      </extLst>
    </bk>
    <bk>
      <extLst>
        <ext uri="{3e2802c4-a4d2-4d8b-9148-e3be6c30e623}">
          <xlrd:rvb i="272"/>
        </ext>
      </extLst>
    </bk>
    <bk>
      <extLst>
        <ext uri="{3e2802c4-a4d2-4d8b-9148-e3be6c30e623}">
          <xlrd:rvb i="273"/>
        </ext>
      </extLst>
    </bk>
    <bk>
      <extLst>
        <ext uri="{3e2802c4-a4d2-4d8b-9148-e3be6c30e623}">
          <xlrd:rvb i="274"/>
        </ext>
      </extLst>
    </bk>
    <bk>
      <extLst>
        <ext uri="{3e2802c4-a4d2-4d8b-9148-e3be6c30e623}">
          <xlrd:rvb i="275"/>
        </ext>
      </extLst>
    </bk>
    <bk>
      <extLst>
        <ext uri="{3e2802c4-a4d2-4d8b-9148-e3be6c30e623}">
          <xlrd:rvb i="276"/>
        </ext>
      </extLst>
    </bk>
    <bk>
      <extLst>
        <ext uri="{3e2802c4-a4d2-4d8b-9148-e3be6c30e623}">
          <xlrd:rvb i="277"/>
        </ext>
      </extLst>
    </bk>
    <bk>
      <extLst>
        <ext uri="{3e2802c4-a4d2-4d8b-9148-e3be6c30e623}">
          <xlrd:rvb i="278"/>
        </ext>
      </extLst>
    </bk>
    <bk>
      <extLst>
        <ext uri="{3e2802c4-a4d2-4d8b-9148-e3be6c30e623}">
          <xlrd:rvb i="279"/>
        </ext>
      </extLst>
    </bk>
    <bk>
      <extLst>
        <ext uri="{3e2802c4-a4d2-4d8b-9148-e3be6c30e623}">
          <xlrd:rvb i="280"/>
        </ext>
      </extLst>
    </bk>
    <bk>
      <extLst>
        <ext uri="{3e2802c4-a4d2-4d8b-9148-e3be6c30e623}">
          <xlrd:rvb i="281"/>
        </ext>
      </extLst>
    </bk>
    <bk>
      <extLst>
        <ext uri="{3e2802c4-a4d2-4d8b-9148-e3be6c30e623}">
          <xlrd:rvb i="282"/>
        </ext>
      </extLst>
    </bk>
    <bk>
      <extLst>
        <ext uri="{3e2802c4-a4d2-4d8b-9148-e3be6c30e623}">
          <xlrd:rvb i="283"/>
        </ext>
      </extLst>
    </bk>
    <bk>
      <extLst>
        <ext uri="{3e2802c4-a4d2-4d8b-9148-e3be6c30e623}">
          <xlrd:rvb i="284"/>
        </ext>
      </extLst>
    </bk>
    <bk>
      <extLst>
        <ext uri="{3e2802c4-a4d2-4d8b-9148-e3be6c30e623}">
          <xlrd:rvb i="285"/>
        </ext>
      </extLst>
    </bk>
    <bk>
      <extLst>
        <ext uri="{3e2802c4-a4d2-4d8b-9148-e3be6c30e623}">
          <xlrd:rvb i="286"/>
        </ext>
      </extLst>
    </bk>
    <bk>
      <extLst>
        <ext uri="{3e2802c4-a4d2-4d8b-9148-e3be6c30e623}">
          <xlrd:rvb i="287"/>
        </ext>
      </extLst>
    </bk>
    <bk>
      <extLst>
        <ext uri="{3e2802c4-a4d2-4d8b-9148-e3be6c30e623}">
          <xlrd:rvb i="288"/>
        </ext>
      </extLst>
    </bk>
    <bk>
      <extLst>
        <ext uri="{3e2802c4-a4d2-4d8b-9148-e3be6c30e623}">
          <xlrd:rvb i="289"/>
        </ext>
      </extLst>
    </bk>
    <bk>
      <extLst>
        <ext uri="{3e2802c4-a4d2-4d8b-9148-e3be6c30e623}">
          <xlrd:rvb i="290"/>
        </ext>
      </extLst>
    </bk>
    <bk>
      <extLst>
        <ext uri="{3e2802c4-a4d2-4d8b-9148-e3be6c30e623}">
          <xlrd:rvb i="291"/>
        </ext>
      </extLst>
    </bk>
    <bk>
      <extLst>
        <ext uri="{3e2802c4-a4d2-4d8b-9148-e3be6c30e623}">
          <xlrd:rvb i="292"/>
        </ext>
      </extLst>
    </bk>
    <bk>
      <extLst>
        <ext uri="{3e2802c4-a4d2-4d8b-9148-e3be6c30e623}">
          <xlrd:rvb i="293"/>
        </ext>
      </extLst>
    </bk>
    <bk>
      <extLst>
        <ext uri="{3e2802c4-a4d2-4d8b-9148-e3be6c30e623}">
          <xlrd:rvb i="294"/>
        </ext>
      </extLst>
    </bk>
    <bk>
      <extLst>
        <ext uri="{3e2802c4-a4d2-4d8b-9148-e3be6c30e623}">
          <xlrd:rvb i="295"/>
        </ext>
      </extLst>
    </bk>
    <bk>
      <extLst>
        <ext uri="{3e2802c4-a4d2-4d8b-9148-e3be6c30e623}">
          <xlrd:rvb i="296"/>
        </ext>
      </extLst>
    </bk>
    <bk>
      <extLst>
        <ext uri="{3e2802c4-a4d2-4d8b-9148-e3be6c30e623}">
          <xlrd:rvb i="297"/>
        </ext>
      </extLst>
    </bk>
    <bk>
      <extLst>
        <ext uri="{3e2802c4-a4d2-4d8b-9148-e3be6c30e623}">
          <xlrd:rvb i="298"/>
        </ext>
      </extLst>
    </bk>
    <bk>
      <extLst>
        <ext uri="{3e2802c4-a4d2-4d8b-9148-e3be6c30e623}">
          <xlrd:rvb i="299"/>
        </ext>
      </extLst>
    </bk>
    <bk>
      <extLst>
        <ext uri="{3e2802c4-a4d2-4d8b-9148-e3be6c30e623}">
          <xlrd:rvb i="300"/>
        </ext>
      </extLst>
    </bk>
    <bk>
      <extLst>
        <ext uri="{3e2802c4-a4d2-4d8b-9148-e3be6c30e623}">
          <xlrd:rvb i="301"/>
        </ext>
      </extLst>
    </bk>
    <bk>
      <extLst>
        <ext uri="{3e2802c4-a4d2-4d8b-9148-e3be6c30e623}">
          <xlrd:rvb i="302"/>
        </ext>
      </extLst>
    </bk>
    <bk>
      <extLst>
        <ext uri="{3e2802c4-a4d2-4d8b-9148-e3be6c30e623}">
          <xlrd:rvb i="303"/>
        </ext>
      </extLst>
    </bk>
    <bk>
      <extLst>
        <ext uri="{3e2802c4-a4d2-4d8b-9148-e3be6c30e623}">
          <xlrd:rvb i="304"/>
        </ext>
      </extLst>
    </bk>
    <bk>
      <extLst>
        <ext uri="{3e2802c4-a4d2-4d8b-9148-e3be6c30e623}">
          <xlrd:rvb i="305"/>
        </ext>
      </extLst>
    </bk>
    <bk>
      <extLst>
        <ext uri="{3e2802c4-a4d2-4d8b-9148-e3be6c30e623}">
          <xlrd:rvb i="306"/>
        </ext>
      </extLst>
    </bk>
    <bk>
      <extLst>
        <ext uri="{3e2802c4-a4d2-4d8b-9148-e3be6c30e623}">
          <xlrd:rvb i="307"/>
        </ext>
      </extLst>
    </bk>
    <bk>
      <extLst>
        <ext uri="{3e2802c4-a4d2-4d8b-9148-e3be6c30e623}">
          <xlrd:rvb i="308"/>
        </ext>
      </extLst>
    </bk>
    <bk>
      <extLst>
        <ext uri="{3e2802c4-a4d2-4d8b-9148-e3be6c30e623}">
          <xlrd:rvb i="309"/>
        </ext>
      </extLst>
    </bk>
    <bk>
      <extLst>
        <ext uri="{3e2802c4-a4d2-4d8b-9148-e3be6c30e623}">
          <xlrd:rvb i="310"/>
        </ext>
      </extLst>
    </bk>
    <bk>
      <extLst>
        <ext uri="{3e2802c4-a4d2-4d8b-9148-e3be6c30e623}">
          <xlrd:rvb i="311"/>
        </ext>
      </extLst>
    </bk>
    <bk>
      <extLst>
        <ext uri="{3e2802c4-a4d2-4d8b-9148-e3be6c30e623}">
          <xlrd:rvb i="312"/>
        </ext>
      </extLst>
    </bk>
    <bk>
      <extLst>
        <ext uri="{3e2802c4-a4d2-4d8b-9148-e3be6c30e623}">
          <xlrd:rvb i="313"/>
        </ext>
      </extLst>
    </bk>
    <bk>
      <extLst>
        <ext uri="{3e2802c4-a4d2-4d8b-9148-e3be6c30e623}">
          <xlrd:rvb i="314"/>
        </ext>
      </extLst>
    </bk>
    <bk>
      <extLst>
        <ext uri="{3e2802c4-a4d2-4d8b-9148-e3be6c30e623}">
          <xlrd:rvb i="315"/>
        </ext>
      </extLst>
    </bk>
    <bk>
      <extLst>
        <ext uri="{3e2802c4-a4d2-4d8b-9148-e3be6c30e623}">
          <xlrd:rvb i="316"/>
        </ext>
      </extLst>
    </bk>
    <bk>
      <extLst>
        <ext uri="{3e2802c4-a4d2-4d8b-9148-e3be6c30e623}">
          <xlrd:rvb i="317"/>
        </ext>
      </extLst>
    </bk>
    <bk>
      <extLst>
        <ext uri="{3e2802c4-a4d2-4d8b-9148-e3be6c30e623}">
          <xlrd:rvb i="318"/>
        </ext>
      </extLst>
    </bk>
    <bk>
      <extLst>
        <ext uri="{3e2802c4-a4d2-4d8b-9148-e3be6c30e623}">
          <xlrd:rvb i="319"/>
        </ext>
      </extLst>
    </bk>
    <bk>
      <extLst>
        <ext uri="{3e2802c4-a4d2-4d8b-9148-e3be6c30e623}">
          <xlrd:rvb i="320"/>
        </ext>
      </extLst>
    </bk>
    <bk>
      <extLst>
        <ext uri="{3e2802c4-a4d2-4d8b-9148-e3be6c30e623}">
          <xlrd:rvb i="321"/>
        </ext>
      </extLst>
    </bk>
    <bk>
      <extLst>
        <ext uri="{3e2802c4-a4d2-4d8b-9148-e3be6c30e623}">
          <xlrd:rvb i="322"/>
        </ext>
      </extLst>
    </bk>
    <bk>
      <extLst>
        <ext uri="{3e2802c4-a4d2-4d8b-9148-e3be6c30e623}">
          <xlrd:rvb i="323"/>
        </ext>
      </extLst>
    </bk>
    <bk>
      <extLst>
        <ext uri="{3e2802c4-a4d2-4d8b-9148-e3be6c30e623}">
          <xlrd:rvb i="324"/>
        </ext>
      </extLst>
    </bk>
    <bk>
      <extLst>
        <ext uri="{3e2802c4-a4d2-4d8b-9148-e3be6c30e623}">
          <xlrd:rvb i="325"/>
        </ext>
      </extLst>
    </bk>
    <bk>
      <extLst>
        <ext uri="{3e2802c4-a4d2-4d8b-9148-e3be6c30e623}">
          <xlrd:rvb i="326"/>
        </ext>
      </extLst>
    </bk>
    <bk>
      <extLst>
        <ext uri="{3e2802c4-a4d2-4d8b-9148-e3be6c30e623}">
          <xlrd:rvb i="327"/>
        </ext>
      </extLst>
    </bk>
    <bk>
      <extLst>
        <ext uri="{3e2802c4-a4d2-4d8b-9148-e3be6c30e623}">
          <xlrd:rvb i="328"/>
        </ext>
      </extLst>
    </bk>
    <bk>
      <extLst>
        <ext uri="{3e2802c4-a4d2-4d8b-9148-e3be6c30e623}">
          <xlrd:rvb i="329"/>
        </ext>
      </extLst>
    </bk>
    <bk>
      <extLst>
        <ext uri="{3e2802c4-a4d2-4d8b-9148-e3be6c30e623}">
          <xlrd:rvb i="330"/>
        </ext>
      </extLst>
    </bk>
    <bk>
      <extLst>
        <ext uri="{3e2802c4-a4d2-4d8b-9148-e3be6c30e623}">
          <xlrd:rvb i="331"/>
        </ext>
      </extLst>
    </bk>
    <bk>
      <extLst>
        <ext uri="{3e2802c4-a4d2-4d8b-9148-e3be6c30e623}">
          <xlrd:rvb i="332"/>
        </ext>
      </extLst>
    </bk>
    <bk>
      <extLst>
        <ext uri="{3e2802c4-a4d2-4d8b-9148-e3be6c30e623}">
          <xlrd:rvb i="333"/>
        </ext>
      </extLst>
    </bk>
    <bk>
      <extLst>
        <ext uri="{3e2802c4-a4d2-4d8b-9148-e3be6c30e623}">
          <xlrd:rvb i="334"/>
        </ext>
      </extLst>
    </bk>
    <bk>
      <extLst>
        <ext uri="{3e2802c4-a4d2-4d8b-9148-e3be6c30e623}">
          <xlrd:rvb i="335"/>
        </ext>
      </extLst>
    </bk>
    <bk>
      <extLst>
        <ext uri="{3e2802c4-a4d2-4d8b-9148-e3be6c30e623}">
          <xlrd:rvb i="336"/>
        </ext>
      </extLst>
    </bk>
    <bk>
      <extLst>
        <ext uri="{3e2802c4-a4d2-4d8b-9148-e3be6c30e623}">
          <xlrd:rvb i="337"/>
        </ext>
      </extLst>
    </bk>
    <bk>
      <extLst>
        <ext uri="{3e2802c4-a4d2-4d8b-9148-e3be6c30e623}">
          <xlrd:rvb i="338"/>
        </ext>
      </extLst>
    </bk>
    <bk>
      <extLst>
        <ext uri="{3e2802c4-a4d2-4d8b-9148-e3be6c30e623}">
          <xlrd:rvb i="339"/>
        </ext>
      </extLst>
    </bk>
    <bk>
      <extLst>
        <ext uri="{3e2802c4-a4d2-4d8b-9148-e3be6c30e623}">
          <xlrd:rvb i="340"/>
        </ext>
      </extLst>
    </bk>
    <bk>
      <extLst>
        <ext uri="{3e2802c4-a4d2-4d8b-9148-e3be6c30e623}">
          <xlrd:rvb i="341"/>
        </ext>
      </extLst>
    </bk>
    <bk>
      <extLst>
        <ext uri="{3e2802c4-a4d2-4d8b-9148-e3be6c30e623}">
          <xlrd:rvb i="342"/>
        </ext>
      </extLst>
    </bk>
    <bk>
      <extLst>
        <ext uri="{3e2802c4-a4d2-4d8b-9148-e3be6c30e623}">
          <xlrd:rvb i="343"/>
        </ext>
      </extLst>
    </bk>
    <bk>
      <extLst>
        <ext uri="{3e2802c4-a4d2-4d8b-9148-e3be6c30e623}">
          <xlrd:rvb i="344"/>
        </ext>
      </extLst>
    </bk>
    <bk>
      <extLst>
        <ext uri="{3e2802c4-a4d2-4d8b-9148-e3be6c30e623}">
          <xlrd:rvb i="345"/>
        </ext>
      </extLst>
    </bk>
    <bk>
      <extLst>
        <ext uri="{3e2802c4-a4d2-4d8b-9148-e3be6c30e623}">
          <xlrd:rvb i="346"/>
        </ext>
      </extLst>
    </bk>
    <bk>
      <extLst>
        <ext uri="{3e2802c4-a4d2-4d8b-9148-e3be6c30e623}">
          <xlrd:rvb i="347"/>
        </ext>
      </extLst>
    </bk>
    <bk>
      <extLst>
        <ext uri="{3e2802c4-a4d2-4d8b-9148-e3be6c30e623}">
          <xlrd:rvb i="348"/>
        </ext>
      </extLst>
    </bk>
    <bk>
      <extLst>
        <ext uri="{3e2802c4-a4d2-4d8b-9148-e3be6c30e623}">
          <xlrd:rvb i="349"/>
        </ext>
      </extLst>
    </bk>
    <bk>
      <extLst>
        <ext uri="{3e2802c4-a4d2-4d8b-9148-e3be6c30e623}">
          <xlrd:rvb i="350"/>
        </ext>
      </extLst>
    </bk>
    <bk>
      <extLst>
        <ext uri="{3e2802c4-a4d2-4d8b-9148-e3be6c30e623}">
          <xlrd:rvb i="351"/>
        </ext>
      </extLst>
    </bk>
    <bk>
      <extLst>
        <ext uri="{3e2802c4-a4d2-4d8b-9148-e3be6c30e623}">
          <xlrd:rvb i="352"/>
        </ext>
      </extLst>
    </bk>
    <bk>
      <extLst>
        <ext uri="{3e2802c4-a4d2-4d8b-9148-e3be6c30e623}">
          <xlrd:rvb i="353"/>
        </ext>
      </extLst>
    </bk>
    <bk>
      <extLst>
        <ext uri="{3e2802c4-a4d2-4d8b-9148-e3be6c30e623}">
          <xlrd:rvb i="354"/>
        </ext>
      </extLst>
    </bk>
    <bk>
      <extLst>
        <ext uri="{3e2802c4-a4d2-4d8b-9148-e3be6c30e623}">
          <xlrd:rvb i="355"/>
        </ext>
      </extLst>
    </bk>
    <bk>
      <extLst>
        <ext uri="{3e2802c4-a4d2-4d8b-9148-e3be6c30e623}">
          <xlrd:rvb i="356"/>
        </ext>
      </extLst>
    </bk>
    <bk>
      <extLst>
        <ext uri="{3e2802c4-a4d2-4d8b-9148-e3be6c30e623}">
          <xlrd:rvb i="357"/>
        </ext>
      </extLst>
    </bk>
    <bk>
      <extLst>
        <ext uri="{3e2802c4-a4d2-4d8b-9148-e3be6c30e623}">
          <xlrd:rvb i="358"/>
        </ext>
      </extLst>
    </bk>
    <bk>
      <extLst>
        <ext uri="{3e2802c4-a4d2-4d8b-9148-e3be6c30e623}">
          <xlrd:rvb i="359"/>
        </ext>
      </extLst>
    </bk>
    <bk>
      <extLst>
        <ext uri="{3e2802c4-a4d2-4d8b-9148-e3be6c30e623}">
          <xlrd:rvb i="360"/>
        </ext>
      </extLst>
    </bk>
    <bk>
      <extLst>
        <ext uri="{3e2802c4-a4d2-4d8b-9148-e3be6c30e623}">
          <xlrd:rvb i="361"/>
        </ext>
      </extLst>
    </bk>
    <bk>
      <extLst>
        <ext uri="{3e2802c4-a4d2-4d8b-9148-e3be6c30e623}">
          <xlrd:rvb i="362"/>
        </ext>
      </extLst>
    </bk>
    <bk>
      <extLst>
        <ext uri="{3e2802c4-a4d2-4d8b-9148-e3be6c30e623}">
          <xlrd:rvb i="363"/>
        </ext>
      </extLst>
    </bk>
    <bk>
      <extLst>
        <ext uri="{3e2802c4-a4d2-4d8b-9148-e3be6c30e623}">
          <xlrd:rvb i="364"/>
        </ext>
      </extLst>
    </bk>
    <bk>
      <extLst>
        <ext uri="{3e2802c4-a4d2-4d8b-9148-e3be6c30e623}">
          <xlrd:rvb i="365"/>
        </ext>
      </extLst>
    </bk>
    <bk>
      <extLst>
        <ext uri="{3e2802c4-a4d2-4d8b-9148-e3be6c30e623}">
          <xlrd:rvb i="366"/>
        </ext>
      </extLst>
    </bk>
    <bk>
      <extLst>
        <ext uri="{3e2802c4-a4d2-4d8b-9148-e3be6c30e623}">
          <xlrd:rvb i="367"/>
        </ext>
      </extLst>
    </bk>
    <bk>
      <extLst>
        <ext uri="{3e2802c4-a4d2-4d8b-9148-e3be6c30e623}">
          <xlrd:rvb i="368"/>
        </ext>
      </extLst>
    </bk>
    <bk>
      <extLst>
        <ext uri="{3e2802c4-a4d2-4d8b-9148-e3be6c30e623}">
          <xlrd:rvb i="369"/>
        </ext>
      </extLst>
    </bk>
    <bk>
      <extLst>
        <ext uri="{3e2802c4-a4d2-4d8b-9148-e3be6c30e623}">
          <xlrd:rvb i="370"/>
        </ext>
      </extLst>
    </bk>
    <bk>
      <extLst>
        <ext uri="{3e2802c4-a4d2-4d8b-9148-e3be6c30e623}">
          <xlrd:rvb i="371"/>
        </ext>
      </extLst>
    </bk>
    <bk>
      <extLst>
        <ext uri="{3e2802c4-a4d2-4d8b-9148-e3be6c30e623}">
          <xlrd:rvb i="372"/>
        </ext>
      </extLst>
    </bk>
    <bk>
      <extLst>
        <ext uri="{3e2802c4-a4d2-4d8b-9148-e3be6c30e623}">
          <xlrd:rvb i="373"/>
        </ext>
      </extLst>
    </bk>
    <bk>
      <extLst>
        <ext uri="{3e2802c4-a4d2-4d8b-9148-e3be6c30e623}">
          <xlrd:rvb i="374"/>
        </ext>
      </extLst>
    </bk>
    <bk>
      <extLst>
        <ext uri="{3e2802c4-a4d2-4d8b-9148-e3be6c30e623}">
          <xlrd:rvb i="375"/>
        </ext>
      </extLst>
    </bk>
    <bk>
      <extLst>
        <ext uri="{3e2802c4-a4d2-4d8b-9148-e3be6c30e623}">
          <xlrd:rvb i="376"/>
        </ext>
      </extLst>
    </bk>
    <bk>
      <extLst>
        <ext uri="{3e2802c4-a4d2-4d8b-9148-e3be6c30e623}">
          <xlrd:rvb i="377"/>
        </ext>
      </extLst>
    </bk>
    <bk>
      <extLst>
        <ext uri="{3e2802c4-a4d2-4d8b-9148-e3be6c30e623}">
          <xlrd:rvb i="378"/>
        </ext>
      </extLst>
    </bk>
    <bk>
      <extLst>
        <ext uri="{3e2802c4-a4d2-4d8b-9148-e3be6c30e623}">
          <xlrd:rvb i="379"/>
        </ext>
      </extLst>
    </bk>
    <bk>
      <extLst>
        <ext uri="{3e2802c4-a4d2-4d8b-9148-e3be6c30e623}">
          <xlrd:rvb i="380"/>
        </ext>
      </extLst>
    </bk>
    <bk>
      <extLst>
        <ext uri="{3e2802c4-a4d2-4d8b-9148-e3be6c30e623}">
          <xlrd:rvb i="381"/>
        </ext>
      </extLst>
    </bk>
    <bk>
      <extLst>
        <ext uri="{3e2802c4-a4d2-4d8b-9148-e3be6c30e623}">
          <xlrd:rvb i="382"/>
        </ext>
      </extLst>
    </bk>
    <bk>
      <extLst>
        <ext uri="{3e2802c4-a4d2-4d8b-9148-e3be6c30e623}">
          <xlrd:rvb i="383"/>
        </ext>
      </extLst>
    </bk>
    <bk>
      <extLst>
        <ext uri="{3e2802c4-a4d2-4d8b-9148-e3be6c30e623}">
          <xlrd:rvb i="384"/>
        </ext>
      </extLst>
    </bk>
    <bk>
      <extLst>
        <ext uri="{3e2802c4-a4d2-4d8b-9148-e3be6c30e623}">
          <xlrd:rvb i="385"/>
        </ext>
      </extLst>
    </bk>
    <bk>
      <extLst>
        <ext uri="{3e2802c4-a4d2-4d8b-9148-e3be6c30e623}">
          <xlrd:rvb i="386"/>
        </ext>
      </extLst>
    </bk>
    <bk>
      <extLst>
        <ext uri="{3e2802c4-a4d2-4d8b-9148-e3be6c30e623}">
          <xlrd:rvb i="387"/>
        </ext>
      </extLst>
    </bk>
    <bk>
      <extLst>
        <ext uri="{3e2802c4-a4d2-4d8b-9148-e3be6c30e623}">
          <xlrd:rvb i="388"/>
        </ext>
      </extLst>
    </bk>
    <bk>
      <extLst>
        <ext uri="{3e2802c4-a4d2-4d8b-9148-e3be6c30e623}">
          <xlrd:rvb i="389"/>
        </ext>
      </extLst>
    </bk>
    <bk>
      <extLst>
        <ext uri="{3e2802c4-a4d2-4d8b-9148-e3be6c30e623}">
          <xlrd:rvb i="390"/>
        </ext>
      </extLst>
    </bk>
    <bk>
      <extLst>
        <ext uri="{3e2802c4-a4d2-4d8b-9148-e3be6c30e623}">
          <xlrd:rvb i="391"/>
        </ext>
      </extLst>
    </bk>
    <bk>
      <extLst>
        <ext uri="{3e2802c4-a4d2-4d8b-9148-e3be6c30e623}">
          <xlrd:rvb i="392"/>
        </ext>
      </extLst>
    </bk>
    <bk>
      <extLst>
        <ext uri="{3e2802c4-a4d2-4d8b-9148-e3be6c30e623}">
          <xlrd:rvb i="393"/>
        </ext>
      </extLst>
    </bk>
    <bk>
      <extLst>
        <ext uri="{3e2802c4-a4d2-4d8b-9148-e3be6c30e623}">
          <xlrd:rvb i="394"/>
        </ext>
      </extLst>
    </bk>
    <bk>
      <extLst>
        <ext uri="{3e2802c4-a4d2-4d8b-9148-e3be6c30e623}">
          <xlrd:rvb i="395"/>
        </ext>
      </extLst>
    </bk>
    <bk>
      <extLst>
        <ext uri="{3e2802c4-a4d2-4d8b-9148-e3be6c30e623}">
          <xlrd:rvb i="396"/>
        </ext>
      </extLst>
    </bk>
    <bk>
      <extLst>
        <ext uri="{3e2802c4-a4d2-4d8b-9148-e3be6c30e623}">
          <xlrd:rvb i="397"/>
        </ext>
      </extLst>
    </bk>
    <bk>
      <extLst>
        <ext uri="{3e2802c4-a4d2-4d8b-9148-e3be6c30e623}">
          <xlrd:rvb i="398"/>
        </ext>
      </extLst>
    </bk>
    <bk>
      <extLst>
        <ext uri="{3e2802c4-a4d2-4d8b-9148-e3be6c30e623}">
          <xlrd:rvb i="399"/>
        </ext>
      </extLst>
    </bk>
    <bk>
      <extLst>
        <ext uri="{3e2802c4-a4d2-4d8b-9148-e3be6c30e623}">
          <xlrd:rvb i="400"/>
        </ext>
      </extLst>
    </bk>
    <bk>
      <extLst>
        <ext uri="{3e2802c4-a4d2-4d8b-9148-e3be6c30e623}">
          <xlrd:rvb i="401"/>
        </ext>
      </extLst>
    </bk>
    <bk>
      <extLst>
        <ext uri="{3e2802c4-a4d2-4d8b-9148-e3be6c30e623}">
          <xlrd:rvb i="402"/>
        </ext>
      </extLst>
    </bk>
    <bk>
      <extLst>
        <ext uri="{3e2802c4-a4d2-4d8b-9148-e3be6c30e623}">
          <xlrd:rvb i="403"/>
        </ext>
      </extLst>
    </bk>
    <bk>
      <extLst>
        <ext uri="{3e2802c4-a4d2-4d8b-9148-e3be6c30e623}">
          <xlrd:rvb i="404"/>
        </ext>
      </extLst>
    </bk>
    <bk>
      <extLst>
        <ext uri="{3e2802c4-a4d2-4d8b-9148-e3be6c30e623}">
          <xlrd:rvb i="405"/>
        </ext>
      </extLst>
    </bk>
    <bk>
      <extLst>
        <ext uri="{3e2802c4-a4d2-4d8b-9148-e3be6c30e623}">
          <xlrd:rvb i="406"/>
        </ext>
      </extLst>
    </bk>
    <bk>
      <extLst>
        <ext uri="{3e2802c4-a4d2-4d8b-9148-e3be6c30e623}">
          <xlrd:rvb i="407"/>
        </ext>
      </extLst>
    </bk>
    <bk>
      <extLst>
        <ext uri="{3e2802c4-a4d2-4d8b-9148-e3be6c30e623}">
          <xlrd:rvb i="408"/>
        </ext>
      </extLst>
    </bk>
    <bk>
      <extLst>
        <ext uri="{3e2802c4-a4d2-4d8b-9148-e3be6c30e623}">
          <xlrd:rvb i="409"/>
        </ext>
      </extLst>
    </bk>
    <bk>
      <extLst>
        <ext uri="{3e2802c4-a4d2-4d8b-9148-e3be6c30e623}">
          <xlrd:rvb i="410"/>
        </ext>
      </extLst>
    </bk>
    <bk>
      <extLst>
        <ext uri="{3e2802c4-a4d2-4d8b-9148-e3be6c30e623}">
          <xlrd:rvb i="411"/>
        </ext>
      </extLst>
    </bk>
    <bk>
      <extLst>
        <ext uri="{3e2802c4-a4d2-4d8b-9148-e3be6c30e623}">
          <xlrd:rvb i="412"/>
        </ext>
      </extLst>
    </bk>
    <bk>
      <extLst>
        <ext uri="{3e2802c4-a4d2-4d8b-9148-e3be6c30e623}">
          <xlrd:rvb i="413"/>
        </ext>
      </extLst>
    </bk>
    <bk>
      <extLst>
        <ext uri="{3e2802c4-a4d2-4d8b-9148-e3be6c30e623}">
          <xlrd:rvb i="414"/>
        </ext>
      </extLst>
    </bk>
    <bk>
      <extLst>
        <ext uri="{3e2802c4-a4d2-4d8b-9148-e3be6c30e623}">
          <xlrd:rvb i="415"/>
        </ext>
      </extLst>
    </bk>
    <bk>
      <extLst>
        <ext uri="{3e2802c4-a4d2-4d8b-9148-e3be6c30e623}">
          <xlrd:rvb i="416"/>
        </ext>
      </extLst>
    </bk>
    <bk>
      <extLst>
        <ext uri="{3e2802c4-a4d2-4d8b-9148-e3be6c30e623}">
          <xlrd:rvb i="417"/>
        </ext>
      </extLst>
    </bk>
    <bk>
      <extLst>
        <ext uri="{3e2802c4-a4d2-4d8b-9148-e3be6c30e623}">
          <xlrd:rvb i="418"/>
        </ext>
      </extLst>
    </bk>
    <bk>
      <extLst>
        <ext uri="{3e2802c4-a4d2-4d8b-9148-e3be6c30e623}">
          <xlrd:rvb i="419"/>
        </ext>
      </extLst>
    </bk>
    <bk>
      <extLst>
        <ext uri="{3e2802c4-a4d2-4d8b-9148-e3be6c30e623}">
          <xlrd:rvb i="420"/>
        </ext>
      </extLst>
    </bk>
    <bk>
      <extLst>
        <ext uri="{3e2802c4-a4d2-4d8b-9148-e3be6c30e623}">
          <xlrd:rvb i="421"/>
        </ext>
      </extLst>
    </bk>
    <bk>
      <extLst>
        <ext uri="{3e2802c4-a4d2-4d8b-9148-e3be6c30e623}">
          <xlrd:rvb i="422"/>
        </ext>
      </extLst>
    </bk>
    <bk>
      <extLst>
        <ext uri="{3e2802c4-a4d2-4d8b-9148-e3be6c30e623}">
          <xlrd:rvb i="423"/>
        </ext>
      </extLst>
    </bk>
    <bk>
      <extLst>
        <ext uri="{3e2802c4-a4d2-4d8b-9148-e3be6c30e623}">
          <xlrd:rvb i="424"/>
        </ext>
      </extLst>
    </bk>
    <bk>
      <extLst>
        <ext uri="{3e2802c4-a4d2-4d8b-9148-e3be6c30e623}">
          <xlrd:rvb i="425"/>
        </ext>
      </extLst>
    </bk>
    <bk>
      <extLst>
        <ext uri="{3e2802c4-a4d2-4d8b-9148-e3be6c30e623}">
          <xlrd:rvb i="426"/>
        </ext>
      </extLst>
    </bk>
    <bk>
      <extLst>
        <ext uri="{3e2802c4-a4d2-4d8b-9148-e3be6c30e623}">
          <xlrd:rvb i="427"/>
        </ext>
      </extLst>
    </bk>
    <bk>
      <extLst>
        <ext uri="{3e2802c4-a4d2-4d8b-9148-e3be6c30e623}">
          <xlrd:rvb i="428"/>
        </ext>
      </extLst>
    </bk>
    <bk>
      <extLst>
        <ext uri="{3e2802c4-a4d2-4d8b-9148-e3be6c30e623}">
          <xlrd:rvb i="429"/>
        </ext>
      </extLst>
    </bk>
    <bk>
      <extLst>
        <ext uri="{3e2802c4-a4d2-4d8b-9148-e3be6c30e623}">
          <xlrd:rvb i="430"/>
        </ext>
      </extLst>
    </bk>
    <bk>
      <extLst>
        <ext uri="{3e2802c4-a4d2-4d8b-9148-e3be6c30e623}">
          <xlrd:rvb i="431"/>
        </ext>
      </extLst>
    </bk>
    <bk>
      <extLst>
        <ext uri="{3e2802c4-a4d2-4d8b-9148-e3be6c30e623}">
          <xlrd:rvb i="432"/>
        </ext>
      </extLst>
    </bk>
    <bk>
      <extLst>
        <ext uri="{3e2802c4-a4d2-4d8b-9148-e3be6c30e623}">
          <xlrd:rvb i="433"/>
        </ext>
      </extLst>
    </bk>
    <bk>
      <extLst>
        <ext uri="{3e2802c4-a4d2-4d8b-9148-e3be6c30e623}">
          <xlrd:rvb i="434"/>
        </ext>
      </extLst>
    </bk>
    <bk>
      <extLst>
        <ext uri="{3e2802c4-a4d2-4d8b-9148-e3be6c30e623}">
          <xlrd:rvb i="435"/>
        </ext>
      </extLst>
    </bk>
    <bk>
      <extLst>
        <ext uri="{3e2802c4-a4d2-4d8b-9148-e3be6c30e623}">
          <xlrd:rvb i="436"/>
        </ext>
      </extLst>
    </bk>
    <bk>
      <extLst>
        <ext uri="{3e2802c4-a4d2-4d8b-9148-e3be6c30e623}">
          <xlrd:rvb i="437"/>
        </ext>
      </extLst>
    </bk>
    <bk>
      <extLst>
        <ext uri="{3e2802c4-a4d2-4d8b-9148-e3be6c30e623}">
          <xlrd:rvb i="438"/>
        </ext>
      </extLst>
    </bk>
    <bk>
      <extLst>
        <ext uri="{3e2802c4-a4d2-4d8b-9148-e3be6c30e623}">
          <xlrd:rvb i="439"/>
        </ext>
      </extLst>
    </bk>
    <bk>
      <extLst>
        <ext uri="{3e2802c4-a4d2-4d8b-9148-e3be6c30e623}">
          <xlrd:rvb i="440"/>
        </ext>
      </extLst>
    </bk>
    <bk>
      <extLst>
        <ext uri="{3e2802c4-a4d2-4d8b-9148-e3be6c30e623}">
          <xlrd:rvb i="441"/>
        </ext>
      </extLst>
    </bk>
    <bk>
      <extLst>
        <ext uri="{3e2802c4-a4d2-4d8b-9148-e3be6c30e623}">
          <xlrd:rvb i="442"/>
        </ext>
      </extLst>
    </bk>
    <bk>
      <extLst>
        <ext uri="{3e2802c4-a4d2-4d8b-9148-e3be6c30e623}">
          <xlrd:rvb i="443"/>
        </ext>
      </extLst>
    </bk>
    <bk>
      <extLst>
        <ext uri="{3e2802c4-a4d2-4d8b-9148-e3be6c30e623}">
          <xlrd:rvb i="444"/>
        </ext>
      </extLst>
    </bk>
    <bk>
      <extLst>
        <ext uri="{3e2802c4-a4d2-4d8b-9148-e3be6c30e623}">
          <xlrd:rvb i="445"/>
        </ext>
      </extLst>
    </bk>
    <bk>
      <extLst>
        <ext uri="{3e2802c4-a4d2-4d8b-9148-e3be6c30e623}">
          <xlrd:rvb i="446"/>
        </ext>
      </extLst>
    </bk>
    <bk>
      <extLst>
        <ext uri="{3e2802c4-a4d2-4d8b-9148-e3be6c30e623}">
          <xlrd:rvb i="447"/>
        </ext>
      </extLst>
    </bk>
    <bk>
      <extLst>
        <ext uri="{3e2802c4-a4d2-4d8b-9148-e3be6c30e623}">
          <xlrd:rvb i="448"/>
        </ext>
      </extLst>
    </bk>
    <bk>
      <extLst>
        <ext uri="{3e2802c4-a4d2-4d8b-9148-e3be6c30e623}">
          <xlrd:rvb i="449"/>
        </ext>
      </extLst>
    </bk>
    <bk>
      <extLst>
        <ext uri="{3e2802c4-a4d2-4d8b-9148-e3be6c30e623}">
          <xlrd:rvb i="450"/>
        </ext>
      </extLst>
    </bk>
    <bk>
      <extLst>
        <ext uri="{3e2802c4-a4d2-4d8b-9148-e3be6c30e623}">
          <xlrd:rvb i="451"/>
        </ext>
      </extLst>
    </bk>
    <bk>
      <extLst>
        <ext uri="{3e2802c4-a4d2-4d8b-9148-e3be6c30e623}">
          <xlrd:rvb i="452"/>
        </ext>
      </extLst>
    </bk>
    <bk>
      <extLst>
        <ext uri="{3e2802c4-a4d2-4d8b-9148-e3be6c30e623}">
          <xlrd:rvb i="453"/>
        </ext>
      </extLst>
    </bk>
    <bk>
      <extLst>
        <ext uri="{3e2802c4-a4d2-4d8b-9148-e3be6c30e623}">
          <xlrd:rvb i="454"/>
        </ext>
      </extLst>
    </bk>
    <bk>
      <extLst>
        <ext uri="{3e2802c4-a4d2-4d8b-9148-e3be6c30e623}">
          <xlrd:rvb i="455"/>
        </ext>
      </extLst>
    </bk>
    <bk>
      <extLst>
        <ext uri="{3e2802c4-a4d2-4d8b-9148-e3be6c30e623}">
          <xlrd:rvb i="456"/>
        </ext>
      </extLst>
    </bk>
    <bk>
      <extLst>
        <ext uri="{3e2802c4-a4d2-4d8b-9148-e3be6c30e623}">
          <xlrd:rvb i="457"/>
        </ext>
      </extLst>
    </bk>
    <bk>
      <extLst>
        <ext uri="{3e2802c4-a4d2-4d8b-9148-e3be6c30e623}">
          <xlrd:rvb i="458"/>
        </ext>
      </extLst>
    </bk>
    <bk>
      <extLst>
        <ext uri="{3e2802c4-a4d2-4d8b-9148-e3be6c30e623}">
          <xlrd:rvb i="459"/>
        </ext>
      </extLst>
    </bk>
    <bk>
      <extLst>
        <ext uri="{3e2802c4-a4d2-4d8b-9148-e3be6c30e623}">
          <xlrd:rvb i="460"/>
        </ext>
      </extLst>
    </bk>
    <bk>
      <extLst>
        <ext uri="{3e2802c4-a4d2-4d8b-9148-e3be6c30e623}">
          <xlrd:rvb i="461"/>
        </ext>
      </extLst>
    </bk>
    <bk>
      <extLst>
        <ext uri="{3e2802c4-a4d2-4d8b-9148-e3be6c30e623}">
          <xlrd:rvb i="462"/>
        </ext>
      </extLst>
    </bk>
    <bk>
      <extLst>
        <ext uri="{3e2802c4-a4d2-4d8b-9148-e3be6c30e623}">
          <xlrd:rvb i="463"/>
        </ext>
      </extLst>
    </bk>
    <bk>
      <extLst>
        <ext uri="{3e2802c4-a4d2-4d8b-9148-e3be6c30e623}">
          <xlrd:rvb i="464"/>
        </ext>
      </extLst>
    </bk>
    <bk>
      <extLst>
        <ext uri="{3e2802c4-a4d2-4d8b-9148-e3be6c30e623}">
          <xlrd:rvb i="465"/>
        </ext>
      </extLst>
    </bk>
    <bk>
      <extLst>
        <ext uri="{3e2802c4-a4d2-4d8b-9148-e3be6c30e623}">
          <xlrd:rvb i="466"/>
        </ext>
      </extLst>
    </bk>
    <bk>
      <extLst>
        <ext uri="{3e2802c4-a4d2-4d8b-9148-e3be6c30e623}">
          <xlrd:rvb i="467"/>
        </ext>
      </extLst>
    </bk>
    <bk>
      <extLst>
        <ext uri="{3e2802c4-a4d2-4d8b-9148-e3be6c30e623}">
          <xlrd:rvb i="468"/>
        </ext>
      </extLst>
    </bk>
    <bk>
      <extLst>
        <ext uri="{3e2802c4-a4d2-4d8b-9148-e3be6c30e623}">
          <xlrd:rvb i="469"/>
        </ext>
      </extLst>
    </bk>
    <bk>
      <extLst>
        <ext uri="{3e2802c4-a4d2-4d8b-9148-e3be6c30e623}">
          <xlrd:rvb i="470"/>
        </ext>
      </extLst>
    </bk>
    <bk>
      <extLst>
        <ext uri="{3e2802c4-a4d2-4d8b-9148-e3be6c30e623}">
          <xlrd:rvb i="471"/>
        </ext>
      </extLst>
    </bk>
    <bk>
      <extLst>
        <ext uri="{3e2802c4-a4d2-4d8b-9148-e3be6c30e623}">
          <xlrd:rvb i="472"/>
        </ext>
      </extLst>
    </bk>
    <bk>
      <extLst>
        <ext uri="{3e2802c4-a4d2-4d8b-9148-e3be6c30e623}">
          <xlrd:rvb i="473"/>
        </ext>
      </extLst>
    </bk>
    <bk>
      <extLst>
        <ext uri="{3e2802c4-a4d2-4d8b-9148-e3be6c30e623}">
          <xlrd:rvb i="474"/>
        </ext>
      </extLst>
    </bk>
    <bk>
      <extLst>
        <ext uri="{3e2802c4-a4d2-4d8b-9148-e3be6c30e623}">
          <xlrd:rvb i="475"/>
        </ext>
      </extLst>
    </bk>
    <bk>
      <extLst>
        <ext uri="{3e2802c4-a4d2-4d8b-9148-e3be6c30e623}">
          <xlrd:rvb i="476"/>
        </ext>
      </extLst>
    </bk>
    <bk>
      <extLst>
        <ext uri="{3e2802c4-a4d2-4d8b-9148-e3be6c30e623}">
          <xlrd:rvb i="477"/>
        </ext>
      </extLst>
    </bk>
    <bk>
      <extLst>
        <ext uri="{3e2802c4-a4d2-4d8b-9148-e3be6c30e623}">
          <xlrd:rvb i="478"/>
        </ext>
      </extLst>
    </bk>
    <bk>
      <extLst>
        <ext uri="{3e2802c4-a4d2-4d8b-9148-e3be6c30e623}">
          <xlrd:rvb i="479"/>
        </ext>
      </extLst>
    </bk>
    <bk>
      <extLst>
        <ext uri="{3e2802c4-a4d2-4d8b-9148-e3be6c30e623}">
          <xlrd:rvb i="480"/>
        </ext>
      </extLst>
    </bk>
    <bk>
      <extLst>
        <ext uri="{3e2802c4-a4d2-4d8b-9148-e3be6c30e623}">
          <xlrd:rvb i="481"/>
        </ext>
      </extLst>
    </bk>
    <bk>
      <extLst>
        <ext uri="{3e2802c4-a4d2-4d8b-9148-e3be6c30e623}">
          <xlrd:rvb i="482"/>
        </ext>
      </extLst>
    </bk>
    <bk>
      <extLst>
        <ext uri="{3e2802c4-a4d2-4d8b-9148-e3be6c30e623}">
          <xlrd:rvb i="483"/>
        </ext>
      </extLst>
    </bk>
    <bk>
      <extLst>
        <ext uri="{3e2802c4-a4d2-4d8b-9148-e3be6c30e623}">
          <xlrd:rvb i="484"/>
        </ext>
      </extLst>
    </bk>
    <bk>
      <extLst>
        <ext uri="{3e2802c4-a4d2-4d8b-9148-e3be6c30e623}">
          <xlrd:rvb i="485"/>
        </ext>
      </extLst>
    </bk>
    <bk>
      <extLst>
        <ext uri="{3e2802c4-a4d2-4d8b-9148-e3be6c30e623}">
          <xlrd:rvb i="486"/>
        </ext>
      </extLst>
    </bk>
    <bk>
      <extLst>
        <ext uri="{3e2802c4-a4d2-4d8b-9148-e3be6c30e623}">
          <xlrd:rvb i="487"/>
        </ext>
      </extLst>
    </bk>
    <bk>
      <extLst>
        <ext uri="{3e2802c4-a4d2-4d8b-9148-e3be6c30e623}">
          <xlrd:rvb i="488"/>
        </ext>
      </extLst>
    </bk>
    <bk>
      <extLst>
        <ext uri="{3e2802c4-a4d2-4d8b-9148-e3be6c30e623}">
          <xlrd:rvb i="489"/>
        </ext>
      </extLst>
    </bk>
    <bk>
      <extLst>
        <ext uri="{3e2802c4-a4d2-4d8b-9148-e3be6c30e623}">
          <xlrd:rvb i="490"/>
        </ext>
      </extLst>
    </bk>
    <bk>
      <extLst>
        <ext uri="{3e2802c4-a4d2-4d8b-9148-e3be6c30e623}">
          <xlrd:rvb i="491"/>
        </ext>
      </extLst>
    </bk>
    <bk>
      <extLst>
        <ext uri="{3e2802c4-a4d2-4d8b-9148-e3be6c30e623}">
          <xlrd:rvb i="492"/>
        </ext>
      </extLst>
    </bk>
    <bk>
      <extLst>
        <ext uri="{3e2802c4-a4d2-4d8b-9148-e3be6c30e623}">
          <xlrd:rvb i="493"/>
        </ext>
      </extLst>
    </bk>
    <bk>
      <extLst>
        <ext uri="{3e2802c4-a4d2-4d8b-9148-e3be6c30e623}">
          <xlrd:rvb i="494"/>
        </ext>
      </extLst>
    </bk>
    <bk>
      <extLst>
        <ext uri="{3e2802c4-a4d2-4d8b-9148-e3be6c30e623}">
          <xlrd:rvb i="495"/>
        </ext>
      </extLst>
    </bk>
    <bk>
      <extLst>
        <ext uri="{3e2802c4-a4d2-4d8b-9148-e3be6c30e623}">
          <xlrd:rvb i="496"/>
        </ext>
      </extLst>
    </bk>
    <bk>
      <extLst>
        <ext uri="{3e2802c4-a4d2-4d8b-9148-e3be6c30e623}">
          <xlrd:rvb i="497"/>
        </ext>
      </extLst>
    </bk>
    <bk>
      <extLst>
        <ext uri="{3e2802c4-a4d2-4d8b-9148-e3be6c30e623}">
          <xlrd:rvb i="498"/>
        </ext>
      </extLst>
    </bk>
    <bk>
      <extLst>
        <ext uri="{3e2802c4-a4d2-4d8b-9148-e3be6c30e623}">
          <xlrd:rvb i="499"/>
        </ext>
      </extLst>
    </bk>
    <bk>
      <extLst>
        <ext uri="{3e2802c4-a4d2-4d8b-9148-e3be6c30e623}">
          <xlrd:rvb i="500"/>
        </ext>
      </extLst>
    </bk>
    <bk>
      <extLst>
        <ext uri="{3e2802c4-a4d2-4d8b-9148-e3be6c30e623}">
          <xlrd:rvb i="501"/>
        </ext>
      </extLst>
    </bk>
    <bk>
      <extLst>
        <ext uri="{3e2802c4-a4d2-4d8b-9148-e3be6c30e623}">
          <xlrd:rvb i="502"/>
        </ext>
      </extLst>
    </bk>
    <bk>
      <extLst>
        <ext uri="{3e2802c4-a4d2-4d8b-9148-e3be6c30e623}">
          <xlrd:rvb i="503"/>
        </ext>
      </extLst>
    </bk>
    <bk>
      <extLst>
        <ext uri="{3e2802c4-a4d2-4d8b-9148-e3be6c30e623}">
          <xlrd:rvb i="504"/>
        </ext>
      </extLst>
    </bk>
    <bk>
      <extLst>
        <ext uri="{3e2802c4-a4d2-4d8b-9148-e3be6c30e623}">
          <xlrd:rvb i="505"/>
        </ext>
      </extLst>
    </bk>
    <bk>
      <extLst>
        <ext uri="{3e2802c4-a4d2-4d8b-9148-e3be6c30e623}">
          <xlrd:rvb i="506"/>
        </ext>
      </extLst>
    </bk>
    <bk>
      <extLst>
        <ext uri="{3e2802c4-a4d2-4d8b-9148-e3be6c30e623}">
          <xlrd:rvb i="507"/>
        </ext>
      </extLst>
    </bk>
    <bk>
      <extLst>
        <ext uri="{3e2802c4-a4d2-4d8b-9148-e3be6c30e623}">
          <xlrd:rvb i="508"/>
        </ext>
      </extLst>
    </bk>
    <bk>
      <extLst>
        <ext uri="{3e2802c4-a4d2-4d8b-9148-e3be6c30e623}">
          <xlrd:rvb i="509"/>
        </ext>
      </extLst>
    </bk>
    <bk>
      <extLst>
        <ext uri="{3e2802c4-a4d2-4d8b-9148-e3be6c30e623}">
          <xlrd:rvb i="510"/>
        </ext>
      </extLst>
    </bk>
    <bk>
      <extLst>
        <ext uri="{3e2802c4-a4d2-4d8b-9148-e3be6c30e623}">
          <xlrd:rvb i="511"/>
        </ext>
      </extLst>
    </bk>
    <bk>
      <extLst>
        <ext uri="{3e2802c4-a4d2-4d8b-9148-e3be6c30e623}">
          <xlrd:rvb i="512"/>
        </ext>
      </extLst>
    </bk>
    <bk>
      <extLst>
        <ext uri="{3e2802c4-a4d2-4d8b-9148-e3be6c30e623}">
          <xlrd:rvb i="513"/>
        </ext>
      </extLst>
    </bk>
    <bk>
      <extLst>
        <ext uri="{3e2802c4-a4d2-4d8b-9148-e3be6c30e623}">
          <xlrd:rvb i="514"/>
        </ext>
      </extLst>
    </bk>
    <bk>
      <extLst>
        <ext uri="{3e2802c4-a4d2-4d8b-9148-e3be6c30e623}">
          <xlrd:rvb i="515"/>
        </ext>
      </extLst>
    </bk>
    <bk>
      <extLst>
        <ext uri="{3e2802c4-a4d2-4d8b-9148-e3be6c30e623}">
          <xlrd:rvb i="516"/>
        </ext>
      </extLst>
    </bk>
    <bk>
      <extLst>
        <ext uri="{3e2802c4-a4d2-4d8b-9148-e3be6c30e623}">
          <xlrd:rvb i="517"/>
        </ext>
      </extLst>
    </bk>
    <bk>
      <extLst>
        <ext uri="{3e2802c4-a4d2-4d8b-9148-e3be6c30e623}">
          <xlrd:rvb i="518"/>
        </ext>
      </extLst>
    </bk>
    <bk>
      <extLst>
        <ext uri="{3e2802c4-a4d2-4d8b-9148-e3be6c30e623}">
          <xlrd:rvb i="519"/>
        </ext>
      </extLst>
    </bk>
    <bk>
      <extLst>
        <ext uri="{3e2802c4-a4d2-4d8b-9148-e3be6c30e623}">
          <xlrd:rvb i="520"/>
        </ext>
      </extLst>
    </bk>
    <bk>
      <extLst>
        <ext uri="{3e2802c4-a4d2-4d8b-9148-e3be6c30e623}">
          <xlrd:rvb i="521"/>
        </ext>
      </extLst>
    </bk>
    <bk>
      <extLst>
        <ext uri="{3e2802c4-a4d2-4d8b-9148-e3be6c30e623}">
          <xlrd:rvb i="522"/>
        </ext>
      </extLst>
    </bk>
    <bk>
      <extLst>
        <ext uri="{3e2802c4-a4d2-4d8b-9148-e3be6c30e623}">
          <xlrd:rvb i="523"/>
        </ext>
      </extLst>
    </bk>
    <bk>
      <extLst>
        <ext uri="{3e2802c4-a4d2-4d8b-9148-e3be6c30e623}">
          <xlrd:rvb i="524"/>
        </ext>
      </extLst>
    </bk>
    <bk>
      <extLst>
        <ext uri="{3e2802c4-a4d2-4d8b-9148-e3be6c30e623}">
          <xlrd:rvb i="525"/>
        </ext>
      </extLst>
    </bk>
    <bk>
      <extLst>
        <ext uri="{3e2802c4-a4d2-4d8b-9148-e3be6c30e623}">
          <xlrd:rvb i="526"/>
        </ext>
      </extLst>
    </bk>
    <bk>
      <extLst>
        <ext uri="{3e2802c4-a4d2-4d8b-9148-e3be6c30e623}">
          <xlrd:rvb i="527"/>
        </ext>
      </extLst>
    </bk>
    <bk>
      <extLst>
        <ext uri="{3e2802c4-a4d2-4d8b-9148-e3be6c30e623}">
          <xlrd:rvb i="528"/>
        </ext>
      </extLst>
    </bk>
    <bk>
      <extLst>
        <ext uri="{3e2802c4-a4d2-4d8b-9148-e3be6c30e623}">
          <xlrd:rvb i="529"/>
        </ext>
      </extLst>
    </bk>
    <bk>
      <extLst>
        <ext uri="{3e2802c4-a4d2-4d8b-9148-e3be6c30e623}">
          <xlrd:rvb i="530"/>
        </ext>
      </extLst>
    </bk>
    <bk>
      <extLst>
        <ext uri="{3e2802c4-a4d2-4d8b-9148-e3be6c30e623}">
          <xlrd:rvb i="531"/>
        </ext>
      </extLst>
    </bk>
    <bk>
      <extLst>
        <ext uri="{3e2802c4-a4d2-4d8b-9148-e3be6c30e623}">
          <xlrd:rvb i="532"/>
        </ext>
      </extLst>
    </bk>
    <bk>
      <extLst>
        <ext uri="{3e2802c4-a4d2-4d8b-9148-e3be6c30e623}">
          <xlrd:rvb i="533"/>
        </ext>
      </extLst>
    </bk>
    <bk>
      <extLst>
        <ext uri="{3e2802c4-a4d2-4d8b-9148-e3be6c30e623}">
          <xlrd:rvb i="534"/>
        </ext>
      </extLst>
    </bk>
    <bk>
      <extLst>
        <ext uri="{3e2802c4-a4d2-4d8b-9148-e3be6c30e623}">
          <xlrd:rvb i="535"/>
        </ext>
      </extLst>
    </bk>
    <bk>
      <extLst>
        <ext uri="{3e2802c4-a4d2-4d8b-9148-e3be6c30e623}">
          <xlrd:rvb i="536"/>
        </ext>
      </extLst>
    </bk>
    <bk>
      <extLst>
        <ext uri="{3e2802c4-a4d2-4d8b-9148-e3be6c30e623}">
          <xlrd:rvb i="537"/>
        </ext>
      </extLst>
    </bk>
    <bk>
      <extLst>
        <ext uri="{3e2802c4-a4d2-4d8b-9148-e3be6c30e623}">
          <xlrd:rvb i="538"/>
        </ext>
      </extLst>
    </bk>
    <bk>
      <extLst>
        <ext uri="{3e2802c4-a4d2-4d8b-9148-e3be6c30e623}">
          <xlrd:rvb i="539"/>
        </ext>
      </extLst>
    </bk>
    <bk>
      <extLst>
        <ext uri="{3e2802c4-a4d2-4d8b-9148-e3be6c30e623}">
          <xlrd:rvb i="540"/>
        </ext>
      </extLst>
    </bk>
    <bk>
      <extLst>
        <ext uri="{3e2802c4-a4d2-4d8b-9148-e3be6c30e623}">
          <xlrd:rvb i="541"/>
        </ext>
      </extLst>
    </bk>
    <bk>
      <extLst>
        <ext uri="{3e2802c4-a4d2-4d8b-9148-e3be6c30e623}">
          <xlrd:rvb i="542"/>
        </ext>
      </extLst>
    </bk>
    <bk>
      <extLst>
        <ext uri="{3e2802c4-a4d2-4d8b-9148-e3be6c30e623}">
          <xlrd:rvb i="543"/>
        </ext>
      </extLst>
    </bk>
    <bk>
      <extLst>
        <ext uri="{3e2802c4-a4d2-4d8b-9148-e3be6c30e623}">
          <xlrd:rvb i="544"/>
        </ext>
      </extLst>
    </bk>
  </futureMetadata>
  <cellMetadata count="1">
    <bk>
      <rc t="1" v="0"/>
    </bk>
  </cellMetadata>
  <valueMetadata count="545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  <bk>
      <rc t="2" v="19"/>
    </bk>
    <bk>
      <rc t="2" v="20"/>
    </bk>
    <bk>
      <rc t="2" v="21"/>
    </bk>
    <bk>
      <rc t="2" v="22"/>
    </bk>
    <bk>
      <rc t="2" v="23"/>
    </bk>
    <bk>
      <rc t="2" v="24"/>
    </bk>
    <bk>
      <rc t="2" v="25"/>
    </bk>
    <bk>
      <rc t="2" v="26"/>
    </bk>
    <bk>
      <rc t="2" v="27"/>
    </bk>
    <bk>
      <rc t="2" v="28"/>
    </bk>
    <bk>
      <rc t="2" v="29"/>
    </bk>
    <bk>
      <rc t="2" v="30"/>
    </bk>
    <bk>
      <rc t="2" v="31"/>
    </bk>
    <bk>
      <rc t="2" v="32"/>
    </bk>
    <bk>
      <rc t="2" v="33"/>
    </bk>
    <bk>
      <rc t="2" v="34"/>
    </bk>
    <bk>
      <rc t="2" v="35"/>
    </bk>
    <bk>
      <rc t="2" v="36"/>
    </bk>
    <bk>
      <rc t="2" v="37"/>
    </bk>
    <bk>
      <rc t="2" v="38"/>
    </bk>
    <bk>
      <rc t="2" v="39"/>
    </bk>
    <bk>
      <rc t="2" v="40"/>
    </bk>
    <bk>
      <rc t="2" v="41"/>
    </bk>
    <bk>
      <rc t="2" v="42"/>
    </bk>
    <bk>
      <rc t="2" v="43"/>
    </bk>
    <bk>
      <rc t="2" v="44"/>
    </bk>
    <bk>
      <rc t="2" v="45"/>
    </bk>
    <bk>
      <rc t="2" v="46"/>
    </bk>
    <bk>
      <rc t="2" v="47"/>
    </bk>
    <bk>
      <rc t="2" v="48"/>
    </bk>
    <bk>
      <rc t="2" v="49"/>
    </bk>
    <bk>
      <rc t="2" v="50"/>
    </bk>
    <bk>
      <rc t="2" v="51"/>
    </bk>
    <bk>
      <rc t="2" v="52"/>
    </bk>
    <bk>
      <rc t="2" v="53"/>
    </bk>
    <bk>
      <rc t="2" v="54"/>
    </bk>
    <bk>
      <rc t="2" v="55"/>
    </bk>
    <bk>
      <rc t="2" v="56"/>
    </bk>
    <bk>
      <rc t="2" v="57"/>
    </bk>
    <bk>
      <rc t="2" v="58"/>
    </bk>
    <bk>
      <rc t="2" v="59"/>
    </bk>
    <bk>
      <rc t="2" v="60"/>
    </bk>
    <bk>
      <rc t="2" v="61"/>
    </bk>
    <bk>
      <rc t="2" v="62"/>
    </bk>
    <bk>
      <rc t="2" v="63"/>
    </bk>
    <bk>
      <rc t="2" v="64"/>
    </bk>
    <bk>
      <rc t="2" v="65"/>
    </bk>
    <bk>
      <rc t="2" v="66"/>
    </bk>
    <bk>
      <rc t="2" v="67"/>
    </bk>
    <bk>
      <rc t="2" v="68"/>
    </bk>
    <bk>
      <rc t="2" v="69"/>
    </bk>
    <bk>
      <rc t="2" v="70"/>
    </bk>
    <bk>
      <rc t="2" v="71"/>
    </bk>
    <bk>
      <rc t="2" v="72"/>
    </bk>
    <bk>
      <rc t="2" v="73"/>
    </bk>
    <bk>
      <rc t="2" v="74"/>
    </bk>
    <bk>
      <rc t="2" v="75"/>
    </bk>
    <bk>
      <rc t="2" v="76"/>
    </bk>
    <bk>
      <rc t="2" v="77"/>
    </bk>
    <bk>
      <rc t="2" v="78"/>
    </bk>
    <bk>
      <rc t="2" v="79"/>
    </bk>
    <bk>
      <rc t="2" v="80"/>
    </bk>
    <bk>
      <rc t="2" v="81"/>
    </bk>
    <bk>
      <rc t="2" v="82"/>
    </bk>
    <bk>
      <rc t="2" v="83"/>
    </bk>
    <bk>
      <rc t="2" v="84"/>
    </bk>
    <bk>
      <rc t="2" v="85"/>
    </bk>
    <bk>
      <rc t="2" v="86"/>
    </bk>
    <bk>
      <rc t="2" v="87"/>
    </bk>
    <bk>
      <rc t="2" v="88"/>
    </bk>
    <bk>
      <rc t="2" v="89"/>
    </bk>
    <bk>
      <rc t="2" v="90"/>
    </bk>
    <bk>
      <rc t="2" v="91"/>
    </bk>
    <bk>
      <rc t="2" v="92"/>
    </bk>
    <bk>
      <rc t="2" v="93"/>
    </bk>
    <bk>
      <rc t="2" v="94"/>
    </bk>
    <bk>
      <rc t="2" v="95"/>
    </bk>
    <bk>
      <rc t="2" v="96"/>
    </bk>
    <bk>
      <rc t="2" v="97"/>
    </bk>
    <bk>
      <rc t="2" v="98"/>
    </bk>
    <bk>
      <rc t="2" v="99"/>
    </bk>
    <bk>
      <rc t="2" v="100"/>
    </bk>
    <bk>
      <rc t="2" v="101"/>
    </bk>
    <bk>
      <rc t="2" v="102"/>
    </bk>
    <bk>
      <rc t="2" v="103"/>
    </bk>
    <bk>
      <rc t="2" v="104"/>
    </bk>
    <bk>
      <rc t="2" v="105"/>
    </bk>
    <bk>
      <rc t="2" v="106"/>
    </bk>
    <bk>
      <rc t="2" v="107"/>
    </bk>
    <bk>
      <rc t="2" v="108"/>
    </bk>
    <bk>
      <rc t="2" v="109"/>
    </bk>
    <bk>
      <rc t="2" v="110"/>
    </bk>
    <bk>
      <rc t="2" v="111"/>
    </bk>
    <bk>
      <rc t="2" v="112"/>
    </bk>
    <bk>
      <rc t="2" v="113"/>
    </bk>
    <bk>
      <rc t="2" v="114"/>
    </bk>
    <bk>
      <rc t="2" v="115"/>
    </bk>
    <bk>
      <rc t="2" v="116"/>
    </bk>
    <bk>
      <rc t="2" v="117"/>
    </bk>
    <bk>
      <rc t="2" v="118"/>
    </bk>
    <bk>
      <rc t="2" v="119"/>
    </bk>
    <bk>
      <rc t="2" v="120"/>
    </bk>
    <bk>
      <rc t="2" v="121"/>
    </bk>
    <bk>
      <rc t="2" v="122"/>
    </bk>
    <bk>
      <rc t="2" v="123"/>
    </bk>
    <bk>
      <rc t="2" v="124"/>
    </bk>
    <bk>
      <rc t="2" v="125"/>
    </bk>
    <bk>
      <rc t="2" v="126"/>
    </bk>
    <bk>
      <rc t="2" v="127"/>
    </bk>
    <bk>
      <rc t="2" v="128"/>
    </bk>
    <bk>
      <rc t="2" v="129"/>
    </bk>
    <bk>
      <rc t="2" v="130"/>
    </bk>
    <bk>
      <rc t="2" v="131"/>
    </bk>
    <bk>
      <rc t="2" v="132"/>
    </bk>
    <bk>
      <rc t="2" v="133"/>
    </bk>
    <bk>
      <rc t="2" v="134"/>
    </bk>
    <bk>
      <rc t="2" v="135"/>
    </bk>
    <bk>
      <rc t="2" v="136"/>
    </bk>
    <bk>
      <rc t="2" v="137"/>
    </bk>
    <bk>
      <rc t="2" v="138"/>
    </bk>
    <bk>
      <rc t="2" v="139"/>
    </bk>
    <bk>
      <rc t="2" v="140"/>
    </bk>
    <bk>
      <rc t="2" v="141"/>
    </bk>
    <bk>
      <rc t="2" v="142"/>
    </bk>
    <bk>
      <rc t="2" v="143"/>
    </bk>
    <bk>
      <rc t="2" v="144"/>
    </bk>
    <bk>
      <rc t="2" v="145"/>
    </bk>
    <bk>
      <rc t="2" v="146"/>
    </bk>
    <bk>
      <rc t="2" v="147"/>
    </bk>
    <bk>
      <rc t="2" v="148"/>
    </bk>
    <bk>
      <rc t="2" v="149"/>
    </bk>
    <bk>
      <rc t="2" v="150"/>
    </bk>
    <bk>
      <rc t="2" v="151"/>
    </bk>
    <bk>
      <rc t="2" v="152"/>
    </bk>
    <bk>
      <rc t="2" v="153"/>
    </bk>
    <bk>
      <rc t="2" v="154"/>
    </bk>
    <bk>
      <rc t="2" v="155"/>
    </bk>
    <bk>
      <rc t="2" v="156"/>
    </bk>
    <bk>
      <rc t="2" v="157"/>
    </bk>
    <bk>
      <rc t="2" v="158"/>
    </bk>
    <bk>
      <rc t="2" v="159"/>
    </bk>
    <bk>
      <rc t="2" v="160"/>
    </bk>
    <bk>
      <rc t="2" v="161"/>
    </bk>
    <bk>
      <rc t="2" v="162"/>
    </bk>
    <bk>
      <rc t="2" v="163"/>
    </bk>
    <bk>
      <rc t="2" v="164"/>
    </bk>
    <bk>
      <rc t="2" v="165"/>
    </bk>
    <bk>
      <rc t="2" v="166"/>
    </bk>
    <bk>
      <rc t="2" v="167"/>
    </bk>
    <bk>
      <rc t="2" v="168"/>
    </bk>
    <bk>
      <rc t="2" v="169"/>
    </bk>
    <bk>
      <rc t="2" v="170"/>
    </bk>
    <bk>
      <rc t="2" v="171"/>
    </bk>
    <bk>
      <rc t="2" v="172"/>
    </bk>
    <bk>
      <rc t="2" v="173"/>
    </bk>
    <bk>
      <rc t="2" v="174"/>
    </bk>
    <bk>
      <rc t="2" v="175"/>
    </bk>
    <bk>
      <rc t="2" v="176"/>
    </bk>
    <bk>
      <rc t="2" v="177"/>
    </bk>
    <bk>
      <rc t="2" v="178"/>
    </bk>
    <bk>
      <rc t="2" v="179"/>
    </bk>
    <bk>
      <rc t="2" v="180"/>
    </bk>
    <bk>
      <rc t="2" v="181"/>
    </bk>
    <bk>
      <rc t="2" v="182"/>
    </bk>
    <bk>
      <rc t="2" v="183"/>
    </bk>
    <bk>
      <rc t="2" v="184"/>
    </bk>
    <bk>
      <rc t="2" v="185"/>
    </bk>
    <bk>
      <rc t="2" v="186"/>
    </bk>
    <bk>
      <rc t="2" v="187"/>
    </bk>
    <bk>
      <rc t="2" v="188"/>
    </bk>
    <bk>
      <rc t="2" v="189"/>
    </bk>
    <bk>
      <rc t="2" v="190"/>
    </bk>
    <bk>
      <rc t="2" v="191"/>
    </bk>
    <bk>
      <rc t="2" v="192"/>
    </bk>
    <bk>
      <rc t="2" v="193"/>
    </bk>
    <bk>
      <rc t="2" v="194"/>
    </bk>
    <bk>
      <rc t="2" v="195"/>
    </bk>
    <bk>
      <rc t="2" v="196"/>
    </bk>
    <bk>
      <rc t="2" v="197"/>
    </bk>
    <bk>
      <rc t="2" v="198"/>
    </bk>
    <bk>
      <rc t="2" v="199"/>
    </bk>
    <bk>
      <rc t="2" v="200"/>
    </bk>
    <bk>
      <rc t="2" v="201"/>
    </bk>
    <bk>
      <rc t="2" v="202"/>
    </bk>
    <bk>
      <rc t="2" v="203"/>
    </bk>
    <bk>
      <rc t="2" v="204"/>
    </bk>
    <bk>
      <rc t="2" v="205"/>
    </bk>
    <bk>
      <rc t="2" v="206"/>
    </bk>
    <bk>
      <rc t="2" v="207"/>
    </bk>
    <bk>
      <rc t="2" v="208"/>
    </bk>
    <bk>
      <rc t="2" v="209"/>
    </bk>
    <bk>
      <rc t="2" v="210"/>
    </bk>
    <bk>
      <rc t="2" v="211"/>
    </bk>
    <bk>
      <rc t="2" v="212"/>
    </bk>
    <bk>
      <rc t="2" v="213"/>
    </bk>
    <bk>
      <rc t="2" v="214"/>
    </bk>
    <bk>
      <rc t="2" v="215"/>
    </bk>
    <bk>
      <rc t="2" v="216"/>
    </bk>
    <bk>
      <rc t="2" v="217"/>
    </bk>
    <bk>
      <rc t="2" v="218"/>
    </bk>
    <bk>
      <rc t="2" v="219"/>
    </bk>
    <bk>
      <rc t="2" v="220"/>
    </bk>
    <bk>
      <rc t="2" v="221"/>
    </bk>
    <bk>
      <rc t="2" v="222"/>
    </bk>
    <bk>
      <rc t="2" v="223"/>
    </bk>
    <bk>
      <rc t="2" v="224"/>
    </bk>
    <bk>
      <rc t="2" v="225"/>
    </bk>
    <bk>
      <rc t="2" v="226"/>
    </bk>
    <bk>
      <rc t="2" v="227"/>
    </bk>
    <bk>
      <rc t="2" v="228"/>
    </bk>
    <bk>
      <rc t="2" v="229"/>
    </bk>
    <bk>
      <rc t="2" v="230"/>
    </bk>
    <bk>
      <rc t="2" v="231"/>
    </bk>
    <bk>
      <rc t="2" v="232"/>
    </bk>
    <bk>
      <rc t="2" v="233"/>
    </bk>
    <bk>
      <rc t="2" v="234"/>
    </bk>
    <bk>
      <rc t="2" v="235"/>
    </bk>
    <bk>
      <rc t="2" v="236"/>
    </bk>
    <bk>
      <rc t="2" v="237"/>
    </bk>
    <bk>
      <rc t="2" v="238"/>
    </bk>
    <bk>
      <rc t="2" v="239"/>
    </bk>
    <bk>
      <rc t="2" v="240"/>
    </bk>
    <bk>
      <rc t="2" v="241"/>
    </bk>
    <bk>
      <rc t="2" v="242"/>
    </bk>
    <bk>
      <rc t="2" v="243"/>
    </bk>
    <bk>
      <rc t="2" v="244"/>
    </bk>
    <bk>
      <rc t="2" v="245"/>
    </bk>
    <bk>
      <rc t="2" v="246"/>
    </bk>
    <bk>
      <rc t="2" v="247"/>
    </bk>
    <bk>
      <rc t="2" v="248"/>
    </bk>
    <bk>
      <rc t="2" v="249"/>
    </bk>
    <bk>
      <rc t="2" v="250"/>
    </bk>
    <bk>
      <rc t="2" v="251"/>
    </bk>
    <bk>
      <rc t="2" v="252"/>
    </bk>
    <bk>
      <rc t="2" v="253"/>
    </bk>
    <bk>
      <rc t="2" v="254"/>
    </bk>
    <bk>
      <rc t="2" v="255"/>
    </bk>
    <bk>
      <rc t="2" v="256"/>
    </bk>
    <bk>
      <rc t="2" v="257"/>
    </bk>
    <bk>
      <rc t="2" v="258"/>
    </bk>
    <bk>
      <rc t="2" v="259"/>
    </bk>
    <bk>
      <rc t="2" v="260"/>
    </bk>
    <bk>
      <rc t="2" v="261"/>
    </bk>
    <bk>
      <rc t="2" v="262"/>
    </bk>
    <bk>
      <rc t="2" v="263"/>
    </bk>
    <bk>
      <rc t="2" v="264"/>
    </bk>
    <bk>
      <rc t="2" v="265"/>
    </bk>
    <bk>
      <rc t="2" v="266"/>
    </bk>
    <bk>
      <rc t="2" v="267"/>
    </bk>
    <bk>
      <rc t="2" v="268"/>
    </bk>
    <bk>
      <rc t="2" v="269"/>
    </bk>
    <bk>
      <rc t="2" v="270"/>
    </bk>
    <bk>
      <rc t="2" v="271"/>
    </bk>
    <bk>
      <rc t="2" v="272"/>
    </bk>
    <bk>
      <rc t="2" v="273"/>
    </bk>
    <bk>
      <rc t="2" v="274"/>
    </bk>
    <bk>
      <rc t="2" v="275"/>
    </bk>
    <bk>
      <rc t="2" v="276"/>
    </bk>
    <bk>
      <rc t="2" v="277"/>
    </bk>
    <bk>
      <rc t="2" v="278"/>
    </bk>
    <bk>
      <rc t="2" v="279"/>
    </bk>
    <bk>
      <rc t="2" v="280"/>
    </bk>
    <bk>
      <rc t="2" v="281"/>
    </bk>
    <bk>
      <rc t="2" v="282"/>
    </bk>
    <bk>
      <rc t="2" v="283"/>
    </bk>
    <bk>
      <rc t="2" v="284"/>
    </bk>
    <bk>
      <rc t="2" v="285"/>
    </bk>
    <bk>
      <rc t="2" v="286"/>
    </bk>
    <bk>
      <rc t="2" v="287"/>
    </bk>
    <bk>
      <rc t="2" v="288"/>
    </bk>
    <bk>
      <rc t="2" v="289"/>
    </bk>
    <bk>
      <rc t="2" v="290"/>
    </bk>
    <bk>
      <rc t="2" v="291"/>
    </bk>
    <bk>
      <rc t="2" v="292"/>
    </bk>
    <bk>
      <rc t="2" v="293"/>
    </bk>
    <bk>
      <rc t="2" v="294"/>
    </bk>
    <bk>
      <rc t="2" v="295"/>
    </bk>
    <bk>
      <rc t="2" v="296"/>
    </bk>
    <bk>
      <rc t="2" v="297"/>
    </bk>
    <bk>
      <rc t="2" v="298"/>
    </bk>
    <bk>
      <rc t="2" v="299"/>
    </bk>
    <bk>
      <rc t="2" v="300"/>
    </bk>
    <bk>
      <rc t="2" v="301"/>
    </bk>
    <bk>
      <rc t="2" v="302"/>
    </bk>
    <bk>
      <rc t="2" v="303"/>
    </bk>
    <bk>
      <rc t="2" v="304"/>
    </bk>
    <bk>
      <rc t="2" v="305"/>
    </bk>
    <bk>
      <rc t="2" v="306"/>
    </bk>
    <bk>
      <rc t="2" v="307"/>
    </bk>
    <bk>
      <rc t="2" v="308"/>
    </bk>
    <bk>
      <rc t="2" v="309"/>
    </bk>
    <bk>
      <rc t="2" v="310"/>
    </bk>
    <bk>
      <rc t="2" v="311"/>
    </bk>
    <bk>
      <rc t="2" v="312"/>
    </bk>
    <bk>
      <rc t="2" v="313"/>
    </bk>
    <bk>
      <rc t="2" v="314"/>
    </bk>
    <bk>
      <rc t="2" v="315"/>
    </bk>
    <bk>
      <rc t="2" v="316"/>
    </bk>
    <bk>
      <rc t="2" v="317"/>
    </bk>
    <bk>
      <rc t="2" v="318"/>
    </bk>
    <bk>
      <rc t="2" v="319"/>
    </bk>
    <bk>
      <rc t="2" v="320"/>
    </bk>
    <bk>
      <rc t="2" v="321"/>
    </bk>
    <bk>
      <rc t="2" v="322"/>
    </bk>
    <bk>
      <rc t="2" v="323"/>
    </bk>
    <bk>
      <rc t="2" v="324"/>
    </bk>
    <bk>
      <rc t="2" v="325"/>
    </bk>
    <bk>
      <rc t="2" v="326"/>
    </bk>
    <bk>
      <rc t="2" v="327"/>
    </bk>
    <bk>
      <rc t="2" v="328"/>
    </bk>
    <bk>
      <rc t="2" v="329"/>
    </bk>
    <bk>
      <rc t="2" v="330"/>
    </bk>
    <bk>
      <rc t="2" v="331"/>
    </bk>
    <bk>
      <rc t="2" v="332"/>
    </bk>
    <bk>
      <rc t="2" v="333"/>
    </bk>
    <bk>
      <rc t="2" v="334"/>
    </bk>
    <bk>
      <rc t="2" v="335"/>
    </bk>
    <bk>
      <rc t="2" v="336"/>
    </bk>
    <bk>
      <rc t="2" v="337"/>
    </bk>
    <bk>
      <rc t="2" v="338"/>
    </bk>
    <bk>
      <rc t="2" v="339"/>
    </bk>
    <bk>
      <rc t="2" v="340"/>
    </bk>
    <bk>
      <rc t="2" v="341"/>
    </bk>
    <bk>
      <rc t="2" v="342"/>
    </bk>
    <bk>
      <rc t="2" v="343"/>
    </bk>
    <bk>
      <rc t="2" v="344"/>
    </bk>
    <bk>
      <rc t="2" v="345"/>
    </bk>
    <bk>
      <rc t="2" v="346"/>
    </bk>
    <bk>
      <rc t="2" v="347"/>
    </bk>
    <bk>
      <rc t="2" v="348"/>
    </bk>
    <bk>
      <rc t="2" v="349"/>
    </bk>
    <bk>
      <rc t="2" v="350"/>
    </bk>
    <bk>
      <rc t="2" v="351"/>
    </bk>
    <bk>
      <rc t="2" v="352"/>
    </bk>
    <bk>
      <rc t="2" v="353"/>
    </bk>
    <bk>
      <rc t="2" v="354"/>
    </bk>
    <bk>
      <rc t="2" v="355"/>
    </bk>
    <bk>
      <rc t="2" v="356"/>
    </bk>
    <bk>
      <rc t="2" v="357"/>
    </bk>
    <bk>
      <rc t="2" v="358"/>
    </bk>
    <bk>
      <rc t="2" v="359"/>
    </bk>
    <bk>
      <rc t="2" v="360"/>
    </bk>
    <bk>
      <rc t="2" v="361"/>
    </bk>
    <bk>
      <rc t="2" v="362"/>
    </bk>
    <bk>
      <rc t="2" v="363"/>
    </bk>
    <bk>
      <rc t="2" v="364"/>
    </bk>
    <bk>
      <rc t="2" v="365"/>
    </bk>
    <bk>
      <rc t="2" v="366"/>
    </bk>
    <bk>
      <rc t="2" v="367"/>
    </bk>
    <bk>
      <rc t="2" v="368"/>
    </bk>
    <bk>
      <rc t="2" v="369"/>
    </bk>
    <bk>
      <rc t="2" v="370"/>
    </bk>
    <bk>
      <rc t="2" v="371"/>
    </bk>
    <bk>
      <rc t="2" v="372"/>
    </bk>
    <bk>
      <rc t="2" v="373"/>
    </bk>
    <bk>
      <rc t="2" v="374"/>
    </bk>
    <bk>
      <rc t="2" v="375"/>
    </bk>
    <bk>
      <rc t="2" v="376"/>
    </bk>
    <bk>
      <rc t="2" v="377"/>
    </bk>
    <bk>
      <rc t="2" v="378"/>
    </bk>
    <bk>
      <rc t="2" v="379"/>
    </bk>
    <bk>
      <rc t="2" v="380"/>
    </bk>
    <bk>
      <rc t="2" v="381"/>
    </bk>
    <bk>
      <rc t="2" v="382"/>
    </bk>
    <bk>
      <rc t="2" v="383"/>
    </bk>
    <bk>
      <rc t="2" v="384"/>
    </bk>
    <bk>
      <rc t="2" v="385"/>
    </bk>
    <bk>
      <rc t="2" v="386"/>
    </bk>
    <bk>
      <rc t="2" v="387"/>
    </bk>
    <bk>
      <rc t="2" v="388"/>
    </bk>
    <bk>
      <rc t="2" v="389"/>
    </bk>
    <bk>
      <rc t="2" v="390"/>
    </bk>
    <bk>
      <rc t="2" v="391"/>
    </bk>
    <bk>
      <rc t="2" v="392"/>
    </bk>
    <bk>
      <rc t="2" v="393"/>
    </bk>
    <bk>
      <rc t="2" v="394"/>
    </bk>
    <bk>
      <rc t="2" v="395"/>
    </bk>
    <bk>
      <rc t="2" v="396"/>
    </bk>
    <bk>
      <rc t="2" v="397"/>
    </bk>
    <bk>
      <rc t="2" v="398"/>
    </bk>
    <bk>
      <rc t="2" v="399"/>
    </bk>
    <bk>
      <rc t="2" v="400"/>
    </bk>
    <bk>
      <rc t="2" v="401"/>
    </bk>
    <bk>
      <rc t="2" v="402"/>
    </bk>
    <bk>
      <rc t="2" v="403"/>
    </bk>
    <bk>
      <rc t="2" v="404"/>
    </bk>
    <bk>
      <rc t="2" v="405"/>
    </bk>
    <bk>
      <rc t="2" v="406"/>
    </bk>
    <bk>
      <rc t="2" v="407"/>
    </bk>
    <bk>
      <rc t="2" v="408"/>
    </bk>
    <bk>
      <rc t="2" v="409"/>
    </bk>
    <bk>
      <rc t="2" v="410"/>
    </bk>
    <bk>
      <rc t="2" v="411"/>
    </bk>
    <bk>
      <rc t="2" v="412"/>
    </bk>
    <bk>
      <rc t="2" v="413"/>
    </bk>
    <bk>
      <rc t="2" v="414"/>
    </bk>
    <bk>
      <rc t="2" v="415"/>
    </bk>
    <bk>
      <rc t="2" v="416"/>
    </bk>
    <bk>
      <rc t="2" v="417"/>
    </bk>
    <bk>
      <rc t="2" v="418"/>
    </bk>
    <bk>
      <rc t="2" v="419"/>
    </bk>
    <bk>
      <rc t="2" v="420"/>
    </bk>
    <bk>
      <rc t="2" v="421"/>
    </bk>
    <bk>
      <rc t="2" v="422"/>
    </bk>
    <bk>
      <rc t="2" v="423"/>
    </bk>
    <bk>
      <rc t="2" v="424"/>
    </bk>
    <bk>
      <rc t="2" v="425"/>
    </bk>
    <bk>
      <rc t="2" v="426"/>
    </bk>
    <bk>
      <rc t="2" v="427"/>
    </bk>
    <bk>
      <rc t="2" v="428"/>
    </bk>
    <bk>
      <rc t="2" v="429"/>
    </bk>
    <bk>
      <rc t="2" v="430"/>
    </bk>
    <bk>
      <rc t="2" v="431"/>
    </bk>
    <bk>
      <rc t="2" v="432"/>
    </bk>
    <bk>
      <rc t="2" v="433"/>
    </bk>
    <bk>
      <rc t="2" v="434"/>
    </bk>
    <bk>
      <rc t="2" v="435"/>
    </bk>
    <bk>
      <rc t="2" v="436"/>
    </bk>
    <bk>
      <rc t="2" v="437"/>
    </bk>
    <bk>
      <rc t="2" v="438"/>
    </bk>
    <bk>
      <rc t="2" v="439"/>
    </bk>
    <bk>
      <rc t="2" v="440"/>
    </bk>
    <bk>
      <rc t="2" v="441"/>
    </bk>
    <bk>
      <rc t="2" v="442"/>
    </bk>
    <bk>
      <rc t="2" v="443"/>
    </bk>
    <bk>
      <rc t="2" v="444"/>
    </bk>
    <bk>
      <rc t="2" v="445"/>
    </bk>
    <bk>
      <rc t="2" v="446"/>
    </bk>
    <bk>
      <rc t="2" v="447"/>
    </bk>
    <bk>
      <rc t="2" v="448"/>
    </bk>
    <bk>
      <rc t="2" v="449"/>
    </bk>
    <bk>
      <rc t="2" v="450"/>
    </bk>
    <bk>
      <rc t="2" v="451"/>
    </bk>
    <bk>
      <rc t="2" v="452"/>
    </bk>
    <bk>
      <rc t="2" v="453"/>
    </bk>
    <bk>
      <rc t="2" v="454"/>
    </bk>
    <bk>
      <rc t="2" v="455"/>
    </bk>
    <bk>
      <rc t="2" v="456"/>
    </bk>
    <bk>
      <rc t="2" v="457"/>
    </bk>
    <bk>
      <rc t="2" v="458"/>
    </bk>
    <bk>
      <rc t="2" v="459"/>
    </bk>
    <bk>
      <rc t="2" v="460"/>
    </bk>
    <bk>
      <rc t="2" v="461"/>
    </bk>
    <bk>
      <rc t="2" v="462"/>
    </bk>
    <bk>
      <rc t="2" v="463"/>
    </bk>
    <bk>
      <rc t="2" v="464"/>
    </bk>
    <bk>
      <rc t="2" v="465"/>
    </bk>
    <bk>
      <rc t="2" v="466"/>
    </bk>
    <bk>
      <rc t="2" v="467"/>
    </bk>
    <bk>
      <rc t="2" v="468"/>
    </bk>
    <bk>
      <rc t="2" v="469"/>
    </bk>
    <bk>
      <rc t="2" v="470"/>
    </bk>
    <bk>
      <rc t="2" v="471"/>
    </bk>
    <bk>
      <rc t="2" v="472"/>
    </bk>
    <bk>
      <rc t="2" v="473"/>
    </bk>
    <bk>
      <rc t="2" v="474"/>
    </bk>
    <bk>
      <rc t="2" v="475"/>
    </bk>
    <bk>
      <rc t="2" v="476"/>
    </bk>
    <bk>
      <rc t="2" v="477"/>
    </bk>
    <bk>
      <rc t="2" v="478"/>
    </bk>
    <bk>
      <rc t="2" v="479"/>
    </bk>
    <bk>
      <rc t="2" v="480"/>
    </bk>
    <bk>
      <rc t="2" v="481"/>
    </bk>
    <bk>
      <rc t="2" v="482"/>
    </bk>
    <bk>
      <rc t="2" v="483"/>
    </bk>
    <bk>
      <rc t="2" v="484"/>
    </bk>
    <bk>
      <rc t="2" v="485"/>
    </bk>
    <bk>
      <rc t="2" v="486"/>
    </bk>
    <bk>
      <rc t="2" v="487"/>
    </bk>
    <bk>
      <rc t="2" v="488"/>
    </bk>
    <bk>
      <rc t="2" v="489"/>
    </bk>
    <bk>
      <rc t="2" v="490"/>
    </bk>
    <bk>
      <rc t="2" v="491"/>
    </bk>
    <bk>
      <rc t="2" v="492"/>
    </bk>
    <bk>
      <rc t="2" v="493"/>
    </bk>
    <bk>
      <rc t="2" v="494"/>
    </bk>
    <bk>
      <rc t="2" v="495"/>
    </bk>
    <bk>
      <rc t="2" v="496"/>
    </bk>
    <bk>
      <rc t="2" v="497"/>
    </bk>
    <bk>
      <rc t="2" v="498"/>
    </bk>
    <bk>
      <rc t="2" v="499"/>
    </bk>
    <bk>
      <rc t="2" v="500"/>
    </bk>
    <bk>
      <rc t="2" v="501"/>
    </bk>
    <bk>
      <rc t="2" v="502"/>
    </bk>
    <bk>
      <rc t="2" v="503"/>
    </bk>
    <bk>
      <rc t="2" v="504"/>
    </bk>
    <bk>
      <rc t="2" v="505"/>
    </bk>
    <bk>
      <rc t="2" v="506"/>
    </bk>
    <bk>
      <rc t="2" v="507"/>
    </bk>
    <bk>
      <rc t="2" v="508"/>
    </bk>
    <bk>
      <rc t="2" v="509"/>
    </bk>
    <bk>
      <rc t="2" v="510"/>
    </bk>
    <bk>
      <rc t="2" v="511"/>
    </bk>
    <bk>
      <rc t="2" v="512"/>
    </bk>
    <bk>
      <rc t="2" v="513"/>
    </bk>
    <bk>
      <rc t="2" v="514"/>
    </bk>
    <bk>
      <rc t="2" v="515"/>
    </bk>
    <bk>
      <rc t="2" v="516"/>
    </bk>
    <bk>
      <rc t="2" v="517"/>
    </bk>
    <bk>
      <rc t="2" v="518"/>
    </bk>
    <bk>
      <rc t="2" v="519"/>
    </bk>
    <bk>
      <rc t="2" v="520"/>
    </bk>
    <bk>
      <rc t="2" v="521"/>
    </bk>
    <bk>
      <rc t="2" v="522"/>
    </bk>
    <bk>
      <rc t="2" v="523"/>
    </bk>
    <bk>
      <rc t="2" v="524"/>
    </bk>
    <bk>
      <rc t="2" v="525"/>
    </bk>
    <bk>
      <rc t="2" v="526"/>
    </bk>
    <bk>
      <rc t="2" v="527"/>
    </bk>
    <bk>
      <rc t="2" v="528"/>
    </bk>
    <bk>
      <rc t="2" v="529"/>
    </bk>
    <bk>
      <rc t="2" v="530"/>
    </bk>
    <bk>
      <rc t="2" v="531"/>
    </bk>
    <bk>
      <rc t="2" v="532"/>
    </bk>
    <bk>
      <rc t="2" v="533"/>
    </bk>
    <bk>
      <rc t="2" v="534"/>
    </bk>
    <bk>
      <rc t="2" v="535"/>
    </bk>
    <bk>
      <rc t="2" v="536"/>
    </bk>
    <bk>
      <rc t="2" v="537"/>
    </bk>
    <bk>
      <rc t="2" v="538"/>
    </bk>
    <bk>
      <rc t="2" v="539"/>
    </bk>
    <bk>
      <rc t="2" v="540"/>
    </bk>
    <bk>
      <rc t="2" v="541"/>
    </bk>
    <bk>
      <rc t="2" v="542"/>
    </bk>
    <bk>
      <rc t="2" v="543"/>
    </bk>
    <bk>
      <rc t="2" v="544"/>
    </bk>
  </valueMetadata>
</metadata>
</file>

<file path=xl/sharedStrings.xml><?xml version="1.0" encoding="utf-8"?>
<sst xmlns="http://schemas.openxmlformats.org/spreadsheetml/2006/main" count="51" uniqueCount="49">
  <si>
    <t>AAPL</t>
  </si>
  <si>
    <t>DIS</t>
  </si>
  <si>
    <t>MRK</t>
  </si>
  <si>
    <t>XOM</t>
  </si>
  <si>
    <t>PRICES</t>
  </si>
  <si>
    <t>RETURNS</t>
  </si>
  <si>
    <t>Date</t>
  </si>
  <si>
    <t>Monthly Standard Deviation</t>
  </si>
  <si>
    <t>Annualized Standard Deviation</t>
  </si>
  <si>
    <t>Correlation with S&amp;P</t>
  </si>
  <si>
    <t>Beta</t>
  </si>
  <si>
    <t>Expected Return</t>
  </si>
  <si>
    <t>Rf</t>
  </si>
  <si>
    <t>Rm-Rf</t>
  </si>
  <si>
    <t>Stand Dev</t>
  </si>
  <si>
    <t>Var/Cov Matrix</t>
  </si>
  <si>
    <t>Correlation Matrix</t>
  </si>
  <si>
    <t>weights</t>
  </si>
  <si>
    <t>Weighted Var/Cov Matrix</t>
  </si>
  <si>
    <t>Port. Var</t>
  </si>
  <si>
    <t>Port. S.D.</t>
  </si>
  <si>
    <t>Port. E(R.)</t>
  </si>
  <si>
    <t>Sum</t>
  </si>
  <si>
    <t>Expect. Ret.</t>
  </si>
  <si>
    <t>Stand. Dev.</t>
  </si>
  <si>
    <t>Utility</t>
  </si>
  <si>
    <t>100% Rf</t>
  </si>
  <si>
    <t>A</t>
  </si>
  <si>
    <t>S.D.</t>
  </si>
  <si>
    <t>Exp. Ret.</t>
  </si>
  <si>
    <t>Efficient Frontier</t>
  </si>
  <si>
    <t>Wt in MVE</t>
  </si>
  <si>
    <t>Exp Ret Optimal</t>
  </si>
  <si>
    <t>SD Optimal</t>
  </si>
  <si>
    <t>100% MVE</t>
  </si>
  <si>
    <t>MVE E(R.)</t>
  </si>
  <si>
    <t>MVE S.D.</t>
  </si>
  <si>
    <t>MVE Sharpe</t>
  </si>
  <si>
    <t>250% MVE</t>
  </si>
  <si>
    <t>MVE Capital Allocation Line</t>
  </si>
  <si>
    <t>Finding MVE and Maximizing Utility</t>
  </si>
  <si>
    <t>Expect Ret</t>
  </si>
  <si>
    <t>PRU</t>
  </si>
  <si>
    <t>GE</t>
  </si>
  <si>
    <t>PZZA</t>
  </si>
  <si>
    <t>UAL</t>
  </si>
  <si>
    <t>MVP</t>
  </si>
  <si>
    <t>IVV</t>
  </si>
  <si>
    <t>MVE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</si>
</sst>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0.000%"/>
    <numFmt numFmtId="165" formatCode="0.000000"/>
    <numFmt numFmtId="166" formatCode="[$-409]mmm\-yy;@"/>
    <numFmt numFmtId="167" formatCode="0.0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rgb="FFE0E4E9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/>
    <xf numFmtId="10" fontId="1" fillId="0" borderId="0" xfId="1" applyNumberFormat="1" applyFont="1"/>
    <xf numFmtId="9" fontId="2" fillId="0" borderId="0" xfId="0" applyNumberFormat="1" applyFont="1" applyAlignment="1">
      <alignment horizontal="center"/>
    </xf>
    <xf numFmtId="10" fontId="2" fillId="0" borderId="0" xfId="0" applyNumberFormat="1" applyFont="1" applyAlignment="1">
      <alignment horizontal="center"/>
    </xf>
    <xf numFmtId="10" fontId="0" fillId="0" borderId="0" xfId="0" applyNumberFormat="1"/>
    <xf numFmtId="164" fontId="0" fillId="0" borderId="0" xfId="0" applyNumberFormat="1"/>
    <xf numFmtId="0" fontId="4" fillId="0" borderId="0" xfId="0" applyFont="1" applyAlignment="1">
      <alignment horizontal="center"/>
    </xf>
    <xf numFmtId="0" fontId="0" fillId="0" borderId="1" xfId="0" applyBorder="1"/>
    <xf numFmtId="165" fontId="0" fillId="0" borderId="0" xfId="0" applyNumberFormat="1"/>
    <xf numFmtId="0" fontId="0" fillId="0" borderId="2" xfId="0" applyBorder="1" applyAlignment="1">
      <alignment horizontal="center"/>
    </xf>
    <xf numFmtId="9" fontId="0" fillId="0" borderId="0" xfId="0" applyNumberFormat="1"/>
    <xf numFmtId="9" fontId="0" fillId="0" borderId="0" xfId="0" applyNumberFormat="1" applyAlignment="1">
      <alignment horizontal="center"/>
    </xf>
    <xf numFmtId="10" fontId="1" fillId="0" borderId="1" xfId="1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10" fontId="1" fillId="2" borderId="0" xfId="1" applyNumberFormat="1" applyFont="1" applyFill="1"/>
    <xf numFmtId="10" fontId="1" fillId="3" borderId="0" xfId="1" applyNumberFormat="1" applyFont="1" applyFill="1"/>
    <xf numFmtId="10" fontId="1" fillId="0" borderId="0" xfId="1" applyNumberFormat="1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166" fontId="0" fillId="0" borderId="0" xfId="0" applyNumberFormat="1"/>
    <xf numFmtId="10" fontId="0" fillId="0" borderId="0" xfId="0" applyNumberFormat="1" applyAlignment="1">
      <alignment horizontal="center"/>
    </xf>
    <xf numFmtId="14" fontId="0" fillId="0" borderId="0" xfId="0" applyNumberFormat="1"/>
    <xf numFmtId="44" fontId="5" fillId="4" borderId="5" xfId="2" applyFont="1" applyFill="1" applyBorder="1" applyAlignment="1">
      <alignment horizontal="right" vertical="center"/>
    </xf>
    <xf numFmtId="167" fontId="0" fillId="0" borderId="0" xfId="0" applyNumberForma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microsoft.com/office/2017/06/relationships/rdSupportingPropertyBagStructure" Target="richData/rdsupportingpropertybagstructure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ichStyles" Target="richData/richStyles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Array" Target="richData/rdarray.xml"/><Relationship Id="rId5" Type="http://schemas.openxmlformats.org/officeDocument/2006/relationships/theme" Target="theme/theme1.xml"/><Relationship Id="rId15" Type="http://schemas.microsoft.com/office/2017/06/relationships/rdRichValueTypes" Target="richData/rdRichValueTypes.xml"/><Relationship Id="rId10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microsoft.com/office/2017/06/relationships/rdRichValue" Target="richData/rdrichvalue.xml"/><Relationship Id="rId14" Type="http://schemas.microsoft.com/office/2017/06/relationships/rdSupportingPropertyBag" Target="richData/rdsupportingpropertybag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Portfolio Efficient Frontier </a:t>
            </a:r>
          </a:p>
        </c:rich>
      </c:tx>
      <c:layout>
        <c:manualLayout>
          <c:xMode val="edge"/>
          <c:yMode val="edge"/>
          <c:x val="0.32369942196531792"/>
          <c:y val="2.9821099948713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753371868978806"/>
          <c:y val="0.15705775283836648"/>
          <c:w val="0.7890173410404614"/>
          <c:h val="0.48906560636182944"/>
        </c:manualLayout>
      </c:layout>
      <c:scatterChart>
        <c:scatterStyle val="smoothMarker"/>
        <c:varyColors val="0"/>
        <c:ser>
          <c:idx val="0"/>
          <c:order val="0"/>
          <c:tx>
            <c:v>Efficient Frontier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'Efficient Frontier'!$B$3:$B$14</c:f>
              <c:numCache>
                <c:formatCode>0.00%</c:formatCode>
                <c:ptCount val="12"/>
                <c:pt idx="0">
                  <c:v>0.32558140850434825</c:v>
                </c:pt>
                <c:pt idx="1">
                  <c:v>0.2811953415949795</c:v>
                </c:pt>
                <c:pt idx="2">
                  <c:v>0.2410820101568886</c:v>
                </c:pt>
                <c:pt idx="3">
                  <c:v>0.20773168608895973</c:v>
                </c:pt>
                <c:pt idx="4">
                  <c:v>0.18484197483127313</c:v>
                </c:pt>
                <c:pt idx="5">
                  <c:v>0.17653000419976991</c:v>
                </c:pt>
                <c:pt idx="6">
                  <c:v>0.18477368195121524</c:v>
                </c:pt>
                <c:pt idx="7">
                  <c:v>0.20761013759567931</c:v>
                </c:pt>
                <c:pt idx="8">
                  <c:v>0.24092490380375023</c:v>
                </c:pt>
                <c:pt idx="9">
                  <c:v>0.28101571834777589</c:v>
                </c:pt>
                <c:pt idx="10">
                  <c:v>0.32538752725466691</c:v>
                </c:pt>
                <c:pt idx="11">
                  <c:v>0.37251367291330462</c:v>
                </c:pt>
              </c:numCache>
            </c:numRef>
          </c:xVal>
          <c:yVal>
            <c:numRef>
              <c:f>'Efficient Frontier'!$A$3:$A$14</c:f>
              <c:numCache>
                <c:formatCode>0%</c:formatCode>
                <c:ptCount val="12"/>
                <c:pt idx="0">
                  <c:v>0.02</c:v>
                </c:pt>
                <c:pt idx="1">
                  <c:v>0.03</c:v>
                </c:pt>
                <c:pt idx="2">
                  <c:v>0.04</c:v>
                </c:pt>
                <c:pt idx="3">
                  <c:v>0.05</c:v>
                </c:pt>
                <c:pt idx="4">
                  <c:v>0.06</c:v>
                </c:pt>
                <c:pt idx="5">
                  <c:v>7.0000000000000007E-2</c:v>
                </c:pt>
                <c:pt idx="6">
                  <c:v>0.08</c:v>
                </c:pt>
                <c:pt idx="7">
                  <c:v>0.09</c:v>
                </c:pt>
                <c:pt idx="8">
                  <c:v>0.1</c:v>
                </c:pt>
                <c:pt idx="9">
                  <c:v>0.11</c:v>
                </c:pt>
                <c:pt idx="10">
                  <c:v>0.12</c:v>
                </c:pt>
                <c:pt idx="11">
                  <c:v>0.13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23B-4B59-A016-2BB0E3474B47}"/>
            </c:ext>
          </c:extLst>
        </c:ser>
        <c:ser>
          <c:idx val="1"/>
          <c:order val="1"/>
          <c:tx>
            <c:strRef>
              <c:f>Returns!$K$2</c:f>
              <c:strCache>
                <c:ptCount val="1"/>
                <c:pt idx="0">
                  <c:v>PZZA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xVal>
            <c:numRef>
              <c:f>Returns!$K$66</c:f>
              <c:numCache>
                <c:formatCode>0.00%</c:formatCode>
                <c:ptCount val="1"/>
                <c:pt idx="0">
                  <c:v>0.37123106497358477</c:v>
                </c:pt>
              </c:numCache>
            </c:numRef>
          </c:xVal>
          <c:yVal>
            <c:numRef>
              <c:f>Returns!$K$69</c:f>
              <c:numCache>
                <c:formatCode>0.00%</c:formatCode>
                <c:ptCount val="1"/>
                <c:pt idx="0">
                  <c:v>9.4367503653707996E-2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23B-4B59-A016-2BB0E3474B47}"/>
            </c:ext>
          </c:extLst>
        </c:ser>
        <c:ser>
          <c:idx val="2"/>
          <c:order val="2"/>
          <c:tx>
            <c:strRef>
              <c:f>Returns!$L$2</c:f>
              <c:strCache>
                <c:ptCount val="1"/>
                <c:pt idx="0">
                  <c:v>AAPL</c:v>
                </c:pt>
              </c:strCache>
            </c:strRef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xVal>
            <c:numRef>
              <c:f>Returns!$L$66</c:f>
              <c:numCache>
                <c:formatCode>0.00%</c:formatCode>
                <c:ptCount val="1"/>
                <c:pt idx="0">
                  <c:v>0.28290140611888154</c:v>
                </c:pt>
              </c:numCache>
            </c:numRef>
          </c:xVal>
          <c:yVal>
            <c:numRef>
              <c:f>Returns!$L$69</c:f>
              <c:numCache>
                <c:formatCode>0.00%</c:formatCode>
                <c:ptCount val="1"/>
                <c:pt idx="0">
                  <c:v>9.6373191783070883E-2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23B-4B59-A016-2BB0E3474B47}"/>
            </c:ext>
          </c:extLst>
        </c:ser>
        <c:ser>
          <c:idx val="3"/>
          <c:order val="3"/>
          <c:tx>
            <c:strRef>
              <c:f>Returns!$M$2</c:f>
              <c:strCache>
                <c:ptCount val="1"/>
                <c:pt idx="0">
                  <c:v>PRU</c:v>
                </c:pt>
              </c:strCache>
            </c:strRef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xVal>
            <c:numRef>
              <c:f>Returns!$M$66</c:f>
              <c:numCache>
                <c:formatCode>0.00%</c:formatCode>
                <c:ptCount val="1"/>
                <c:pt idx="0">
                  <c:v>0.31684443212142022</c:v>
                </c:pt>
              </c:numCache>
            </c:numRef>
          </c:xVal>
          <c:yVal>
            <c:numRef>
              <c:f>Returns!$M$69</c:f>
              <c:numCache>
                <c:formatCode>0.00%</c:formatCode>
                <c:ptCount val="1"/>
                <c:pt idx="0">
                  <c:v>0.10488357100973884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23B-4B59-A016-2BB0E3474B47}"/>
            </c:ext>
          </c:extLst>
        </c:ser>
        <c:ser>
          <c:idx val="4"/>
          <c:order val="4"/>
          <c:tx>
            <c:strRef>
              <c:f>Returns!$N$2</c:f>
              <c:strCache>
                <c:ptCount val="1"/>
                <c:pt idx="0">
                  <c:v>DIS</c:v>
                </c:pt>
              </c:strCache>
            </c:strRef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xVal>
            <c:numRef>
              <c:f>Returns!$N$66</c:f>
              <c:numCache>
                <c:formatCode>0.00%</c:formatCode>
                <c:ptCount val="1"/>
                <c:pt idx="0">
                  <c:v>0.35322737367074675</c:v>
                </c:pt>
              </c:numCache>
            </c:numRef>
          </c:xVal>
          <c:yVal>
            <c:numRef>
              <c:f>Returns!$N$69</c:f>
              <c:numCache>
                <c:formatCode>0.00%</c:formatCode>
                <c:ptCount val="1"/>
                <c:pt idx="0">
                  <c:v>0.11068449431281223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23B-4B59-A016-2BB0E3474B47}"/>
            </c:ext>
          </c:extLst>
        </c:ser>
        <c:ser>
          <c:idx val="5"/>
          <c:order val="5"/>
          <c:tx>
            <c:strRef>
              <c:f>Returns!$O$2</c:f>
              <c:strCache>
                <c:ptCount val="1"/>
                <c:pt idx="0">
                  <c:v>GE</c:v>
                </c:pt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xVal>
            <c:numRef>
              <c:f>Returns!$O$66</c:f>
              <c:numCache>
                <c:formatCode>0.00%</c:formatCode>
                <c:ptCount val="1"/>
                <c:pt idx="0">
                  <c:v>0.38271495525713445</c:v>
                </c:pt>
              </c:numCache>
            </c:numRef>
          </c:xVal>
          <c:yVal>
            <c:numRef>
              <c:f>Returns!$O$69</c:f>
              <c:numCache>
                <c:formatCode>0.00%</c:formatCode>
                <c:ptCount val="1"/>
                <c:pt idx="0">
                  <c:v>9.9322078636550917E-2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23B-4B59-A016-2BB0E3474B47}"/>
            </c:ext>
          </c:extLst>
        </c:ser>
        <c:ser>
          <c:idx val="6"/>
          <c:order val="6"/>
          <c:tx>
            <c:strRef>
              <c:f>Returns!$P$2</c:f>
              <c:strCache>
                <c:ptCount val="1"/>
                <c:pt idx="0">
                  <c:v>MRK</c:v>
                </c:pt>
              </c:strCache>
            </c:strRef>
          </c:tx>
          <c:spPr>
            <a:ln w="12700">
              <a:solidFill>
                <a:srgbClr val="00808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8080"/>
                </a:solidFill>
                <a:prstDash val="solid"/>
              </a:ln>
            </c:spPr>
          </c:marker>
          <c:xVal>
            <c:numRef>
              <c:f>Returns!$P$66</c:f>
              <c:numCache>
                <c:formatCode>0.00%</c:formatCode>
                <c:ptCount val="1"/>
                <c:pt idx="0">
                  <c:v>0.21590773742553496</c:v>
                </c:pt>
              </c:numCache>
            </c:numRef>
          </c:xVal>
          <c:yVal>
            <c:numRef>
              <c:f>Returns!$P$69</c:f>
              <c:numCache>
                <c:formatCode>0.00%</c:formatCode>
                <c:ptCount val="1"/>
                <c:pt idx="0">
                  <c:v>5.1590695758485849E-2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23B-4B59-A016-2BB0E3474B47}"/>
            </c:ext>
          </c:extLst>
        </c:ser>
        <c:ser>
          <c:idx val="7"/>
          <c:order val="7"/>
          <c:tx>
            <c:strRef>
              <c:f>Returns!$Q$2</c:f>
              <c:strCache>
                <c:ptCount val="1"/>
                <c:pt idx="0">
                  <c:v>XOM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xVal>
            <c:numRef>
              <c:f>Returns!$Q$66</c:f>
              <c:numCache>
                <c:formatCode>0.00%</c:formatCode>
                <c:ptCount val="1"/>
                <c:pt idx="0">
                  <c:v>0.33742117113680492</c:v>
                </c:pt>
              </c:numCache>
            </c:numRef>
          </c:xVal>
          <c:yVal>
            <c:numRef>
              <c:f>Returns!$Q$69</c:f>
              <c:numCache>
                <c:formatCode>0.00%</c:formatCode>
                <c:ptCount val="1"/>
                <c:pt idx="0">
                  <c:v>8.1199772599126308E-2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23B-4B59-A016-2BB0E3474B47}"/>
            </c:ext>
          </c:extLst>
        </c:ser>
        <c:ser>
          <c:idx val="8"/>
          <c:order val="8"/>
          <c:tx>
            <c:strRef>
              <c:f>Returns!$R$2</c:f>
              <c:strCache>
                <c:ptCount val="1"/>
                <c:pt idx="0">
                  <c:v>UAL</c:v>
                </c:pt>
              </c:strCache>
            </c:strRef>
          </c:tx>
          <c:spPr>
            <a:ln w="12700">
              <a:solidFill>
                <a:srgbClr val="00CCFF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CCFF"/>
                </a:solidFill>
                <a:prstDash val="solid"/>
              </a:ln>
            </c:spPr>
          </c:marker>
          <c:xVal>
            <c:numRef>
              <c:f>Returns!$R$66</c:f>
              <c:numCache>
                <c:formatCode>0.00%</c:formatCode>
                <c:ptCount val="1"/>
                <c:pt idx="0">
                  <c:v>0.54860151135027946</c:v>
                </c:pt>
              </c:numCache>
            </c:numRef>
          </c:xVal>
          <c:yVal>
            <c:numRef>
              <c:f>Returns!$R$69</c:f>
              <c:numCache>
                <c:formatCode>0.00%</c:formatCode>
                <c:ptCount val="1"/>
                <c:pt idx="0">
                  <c:v>0.11940484264445098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23B-4B59-A016-2BB0E3474B47}"/>
            </c:ext>
          </c:extLst>
        </c:ser>
        <c:ser>
          <c:idx val="12"/>
          <c:order val="9"/>
          <c:tx>
            <c:v>Sharpe Max</c:v>
          </c:tx>
          <c:xVal>
            <c:numRef>
              <c:f>'Covar Matrix'!$B$26</c:f>
              <c:numCache>
                <c:formatCode>0.00%</c:formatCode>
                <c:ptCount val="1"/>
                <c:pt idx="0">
                  <c:v>0.22677951460883064</c:v>
                </c:pt>
              </c:numCache>
            </c:numRef>
          </c:xVal>
          <c:yVal>
            <c:numRef>
              <c:f>'Covar Matrix'!$B$27</c:f>
              <c:numCache>
                <c:formatCode>0.00%</c:formatCode>
                <c:ptCount val="1"/>
                <c:pt idx="0">
                  <c:v>9.6050869776298564E-2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23B-4B59-A016-2BB0E3474B47}"/>
            </c:ext>
          </c:extLst>
        </c:ser>
        <c:ser>
          <c:idx val="9"/>
          <c:order val="10"/>
          <c:tx>
            <c:strRef>
              <c:f>Returns!$S$2</c:f>
              <c:strCache>
                <c:ptCount val="1"/>
                <c:pt idx="0">
                  <c:v>IVV</c:v>
                </c:pt>
              </c:strCache>
            </c:strRef>
          </c:tx>
          <c:spPr>
            <a:ln w="12700">
              <a:solidFill>
                <a:srgbClr val="CCFFFF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CCFFFF"/>
              </a:solidFill>
              <a:ln>
                <a:solidFill>
                  <a:srgbClr val="CCFFFF"/>
                </a:solidFill>
                <a:prstDash val="solid"/>
              </a:ln>
            </c:spPr>
          </c:marker>
          <c:xVal>
            <c:numRef>
              <c:f>Returns!$S$66</c:f>
              <c:numCache>
                <c:formatCode>0.00%</c:formatCode>
                <c:ptCount val="1"/>
                <c:pt idx="0">
                  <c:v>0.18435200501240048</c:v>
                </c:pt>
              </c:numCache>
            </c:numRef>
          </c:xVal>
          <c:yVal>
            <c:numRef>
              <c:f>Returns!$S$69</c:f>
              <c:numCache>
                <c:formatCode>0.00%</c:formatCode>
                <c:ptCount val="1"/>
                <c:pt idx="0">
                  <c:v>8.6999999999999994E-2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23B-4B59-A016-2BB0E3474B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475392"/>
        <c:axId val="246568064"/>
      </c:scatterChart>
      <c:valAx>
        <c:axId val="246475392"/>
        <c:scaling>
          <c:orientation val="minMax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Standard Deviation</a:t>
                </a:r>
              </a:p>
            </c:rich>
          </c:tx>
          <c:layout>
            <c:manualLayout>
              <c:xMode val="edge"/>
              <c:yMode val="edge"/>
              <c:x val="0.42341040462427748"/>
              <c:y val="0.7097414547319516"/>
            </c:manualLayout>
          </c:layout>
          <c:overlay val="0"/>
          <c:spPr>
            <a:noFill/>
            <a:ln w="25400">
              <a:noFill/>
            </a:ln>
          </c:spPr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46568064"/>
        <c:crosses val="autoZero"/>
        <c:crossBetween val="midCat"/>
      </c:valAx>
      <c:valAx>
        <c:axId val="246568064"/>
        <c:scaling>
          <c:orientation val="minMax"/>
          <c:max val="0.14000000000000001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Expected Return </a:t>
                </a:r>
              </a:p>
            </c:rich>
          </c:tx>
          <c:layout>
            <c:manualLayout>
              <c:xMode val="edge"/>
              <c:yMode val="edge"/>
              <c:x val="2.1676300578034682E-2"/>
              <c:y val="0.25646121820979273"/>
            </c:manualLayout>
          </c:layout>
          <c:overlay val="0"/>
          <c:spPr>
            <a:noFill/>
            <a:ln w="25400">
              <a:noFill/>
            </a:ln>
          </c:spPr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46475392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5.346820809248555E-2"/>
          <c:y val="0.77622891966090446"/>
          <c:w val="0.81610789980732179"/>
          <c:h val="0.1982282961756217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89" r="0.75000000000000089" t="1" header="0.5" footer="0.5"/>
    <c:pageSetup orientation="landscape" horizontalDpi="300" verticalDpi="3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Portfolio Efficient Frontier with MVE</a:t>
            </a:r>
            <a:r>
              <a:rPr lang="en-US" baseline="0"/>
              <a:t> and its CAL</a:t>
            </a:r>
            <a:r>
              <a:rPr lang="en-US"/>
              <a:t> </a:t>
            </a:r>
          </a:p>
        </c:rich>
      </c:tx>
      <c:layout>
        <c:manualLayout>
          <c:xMode val="edge"/>
          <c:yMode val="edge"/>
          <c:x val="0.17341040462427745"/>
          <c:y val="3.492965678140807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753371868978806"/>
          <c:y val="0.15705775283836648"/>
          <c:w val="0.7890173410404614"/>
          <c:h val="0.48906560636182944"/>
        </c:manualLayout>
      </c:layout>
      <c:scatterChart>
        <c:scatterStyle val="smoothMarker"/>
        <c:varyColors val="0"/>
        <c:ser>
          <c:idx val="0"/>
          <c:order val="0"/>
          <c:tx>
            <c:v>Efficient Frontier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'Efficient Frontier'!$B$3:$B$14</c:f>
              <c:numCache>
                <c:formatCode>0.00%</c:formatCode>
                <c:ptCount val="12"/>
                <c:pt idx="0">
                  <c:v>0.32558140850434825</c:v>
                </c:pt>
                <c:pt idx="1">
                  <c:v>0.2811953415949795</c:v>
                </c:pt>
                <c:pt idx="2">
                  <c:v>0.2410820101568886</c:v>
                </c:pt>
                <c:pt idx="3">
                  <c:v>0.20773168608895973</c:v>
                </c:pt>
                <c:pt idx="4">
                  <c:v>0.18484197483127313</c:v>
                </c:pt>
                <c:pt idx="5">
                  <c:v>0.17653000419976991</c:v>
                </c:pt>
                <c:pt idx="6">
                  <c:v>0.18477368195121524</c:v>
                </c:pt>
                <c:pt idx="7">
                  <c:v>0.20761013759567931</c:v>
                </c:pt>
                <c:pt idx="8">
                  <c:v>0.24092490380375023</c:v>
                </c:pt>
                <c:pt idx="9">
                  <c:v>0.28101571834777589</c:v>
                </c:pt>
                <c:pt idx="10">
                  <c:v>0.32538752725466691</c:v>
                </c:pt>
                <c:pt idx="11">
                  <c:v>0.37251367291330462</c:v>
                </c:pt>
              </c:numCache>
            </c:numRef>
          </c:xVal>
          <c:yVal>
            <c:numRef>
              <c:f>'Efficient Frontier'!$A$3:$A$14</c:f>
              <c:numCache>
                <c:formatCode>0%</c:formatCode>
                <c:ptCount val="12"/>
                <c:pt idx="0">
                  <c:v>0.02</c:v>
                </c:pt>
                <c:pt idx="1">
                  <c:v>0.03</c:v>
                </c:pt>
                <c:pt idx="2">
                  <c:v>0.04</c:v>
                </c:pt>
                <c:pt idx="3">
                  <c:v>0.05</c:v>
                </c:pt>
                <c:pt idx="4">
                  <c:v>0.06</c:v>
                </c:pt>
                <c:pt idx="5">
                  <c:v>7.0000000000000007E-2</c:v>
                </c:pt>
                <c:pt idx="6">
                  <c:v>0.08</c:v>
                </c:pt>
                <c:pt idx="7">
                  <c:v>0.09</c:v>
                </c:pt>
                <c:pt idx="8">
                  <c:v>0.1</c:v>
                </c:pt>
                <c:pt idx="9">
                  <c:v>0.11</c:v>
                </c:pt>
                <c:pt idx="10">
                  <c:v>0.12</c:v>
                </c:pt>
                <c:pt idx="11">
                  <c:v>0.13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EF6-47FC-85CE-563B69108A97}"/>
            </c:ext>
          </c:extLst>
        </c:ser>
        <c:ser>
          <c:idx val="1"/>
          <c:order val="1"/>
          <c:tx>
            <c:strRef>
              <c:f>Returns!$K$2</c:f>
              <c:strCache>
                <c:ptCount val="1"/>
                <c:pt idx="0">
                  <c:v>PZZA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xVal>
            <c:numRef>
              <c:f>Returns!$K$66</c:f>
              <c:numCache>
                <c:formatCode>0.00%</c:formatCode>
                <c:ptCount val="1"/>
                <c:pt idx="0">
                  <c:v>0.37123106497358477</c:v>
                </c:pt>
              </c:numCache>
            </c:numRef>
          </c:xVal>
          <c:yVal>
            <c:numRef>
              <c:f>Returns!$K$69</c:f>
              <c:numCache>
                <c:formatCode>0.00%</c:formatCode>
                <c:ptCount val="1"/>
                <c:pt idx="0">
                  <c:v>9.4367503653707996E-2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EF6-47FC-85CE-563B69108A97}"/>
            </c:ext>
          </c:extLst>
        </c:ser>
        <c:ser>
          <c:idx val="2"/>
          <c:order val="2"/>
          <c:tx>
            <c:strRef>
              <c:f>Returns!$L$2</c:f>
              <c:strCache>
                <c:ptCount val="1"/>
                <c:pt idx="0">
                  <c:v>AAPL</c:v>
                </c:pt>
              </c:strCache>
            </c:strRef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xVal>
            <c:numRef>
              <c:f>Returns!$L$66</c:f>
              <c:numCache>
                <c:formatCode>0.00%</c:formatCode>
                <c:ptCount val="1"/>
                <c:pt idx="0">
                  <c:v>0.28290140611888154</c:v>
                </c:pt>
              </c:numCache>
            </c:numRef>
          </c:xVal>
          <c:yVal>
            <c:numRef>
              <c:f>Returns!$L$69</c:f>
              <c:numCache>
                <c:formatCode>0.00%</c:formatCode>
                <c:ptCount val="1"/>
                <c:pt idx="0">
                  <c:v>9.6373191783070883E-2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EF6-47FC-85CE-563B69108A97}"/>
            </c:ext>
          </c:extLst>
        </c:ser>
        <c:ser>
          <c:idx val="3"/>
          <c:order val="3"/>
          <c:tx>
            <c:strRef>
              <c:f>Returns!$M$2</c:f>
              <c:strCache>
                <c:ptCount val="1"/>
                <c:pt idx="0">
                  <c:v>PRU</c:v>
                </c:pt>
              </c:strCache>
            </c:strRef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xVal>
            <c:numRef>
              <c:f>Returns!$M$66</c:f>
              <c:numCache>
                <c:formatCode>0.00%</c:formatCode>
                <c:ptCount val="1"/>
                <c:pt idx="0">
                  <c:v>0.31684443212142022</c:v>
                </c:pt>
              </c:numCache>
            </c:numRef>
          </c:xVal>
          <c:yVal>
            <c:numRef>
              <c:f>Returns!$M$69</c:f>
              <c:numCache>
                <c:formatCode>0.00%</c:formatCode>
                <c:ptCount val="1"/>
                <c:pt idx="0">
                  <c:v>0.10488357100973884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EF6-47FC-85CE-563B69108A97}"/>
            </c:ext>
          </c:extLst>
        </c:ser>
        <c:ser>
          <c:idx val="4"/>
          <c:order val="4"/>
          <c:tx>
            <c:strRef>
              <c:f>Returns!$N$2</c:f>
              <c:strCache>
                <c:ptCount val="1"/>
                <c:pt idx="0">
                  <c:v>DIS</c:v>
                </c:pt>
              </c:strCache>
            </c:strRef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xVal>
            <c:numRef>
              <c:f>Returns!$N$66</c:f>
              <c:numCache>
                <c:formatCode>0.00%</c:formatCode>
                <c:ptCount val="1"/>
                <c:pt idx="0">
                  <c:v>0.35322737367074675</c:v>
                </c:pt>
              </c:numCache>
            </c:numRef>
          </c:xVal>
          <c:yVal>
            <c:numRef>
              <c:f>Returns!$N$69</c:f>
              <c:numCache>
                <c:formatCode>0.00%</c:formatCode>
                <c:ptCount val="1"/>
                <c:pt idx="0">
                  <c:v>0.11068449431281223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EF6-47FC-85CE-563B69108A97}"/>
            </c:ext>
          </c:extLst>
        </c:ser>
        <c:ser>
          <c:idx val="5"/>
          <c:order val="5"/>
          <c:tx>
            <c:strRef>
              <c:f>Returns!$O$2</c:f>
              <c:strCache>
                <c:ptCount val="1"/>
                <c:pt idx="0">
                  <c:v>GE</c:v>
                </c:pt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xVal>
            <c:numRef>
              <c:f>Returns!$O$66</c:f>
              <c:numCache>
                <c:formatCode>0.00%</c:formatCode>
                <c:ptCount val="1"/>
                <c:pt idx="0">
                  <c:v>0.38271495525713445</c:v>
                </c:pt>
              </c:numCache>
            </c:numRef>
          </c:xVal>
          <c:yVal>
            <c:numRef>
              <c:f>Returns!$O$69</c:f>
              <c:numCache>
                <c:formatCode>0.00%</c:formatCode>
                <c:ptCount val="1"/>
                <c:pt idx="0">
                  <c:v>9.9322078636550917E-2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EF6-47FC-85CE-563B69108A97}"/>
            </c:ext>
          </c:extLst>
        </c:ser>
        <c:ser>
          <c:idx val="6"/>
          <c:order val="6"/>
          <c:tx>
            <c:strRef>
              <c:f>Returns!$P$2</c:f>
              <c:strCache>
                <c:ptCount val="1"/>
                <c:pt idx="0">
                  <c:v>MRK</c:v>
                </c:pt>
              </c:strCache>
            </c:strRef>
          </c:tx>
          <c:spPr>
            <a:ln w="12700">
              <a:solidFill>
                <a:srgbClr val="00808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8080"/>
                </a:solidFill>
                <a:prstDash val="solid"/>
              </a:ln>
            </c:spPr>
          </c:marker>
          <c:xVal>
            <c:numRef>
              <c:f>Returns!$P$66</c:f>
              <c:numCache>
                <c:formatCode>0.00%</c:formatCode>
                <c:ptCount val="1"/>
                <c:pt idx="0">
                  <c:v>0.21590773742553496</c:v>
                </c:pt>
              </c:numCache>
            </c:numRef>
          </c:xVal>
          <c:yVal>
            <c:numRef>
              <c:f>Returns!$P$69</c:f>
              <c:numCache>
                <c:formatCode>0.00%</c:formatCode>
                <c:ptCount val="1"/>
                <c:pt idx="0">
                  <c:v>5.1590695758485849E-2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EF6-47FC-85CE-563B69108A97}"/>
            </c:ext>
          </c:extLst>
        </c:ser>
        <c:ser>
          <c:idx val="7"/>
          <c:order val="7"/>
          <c:tx>
            <c:strRef>
              <c:f>Returns!$Q$2</c:f>
              <c:strCache>
                <c:ptCount val="1"/>
                <c:pt idx="0">
                  <c:v>XOM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xVal>
            <c:numRef>
              <c:f>Returns!$Q$66</c:f>
              <c:numCache>
                <c:formatCode>0.00%</c:formatCode>
                <c:ptCount val="1"/>
                <c:pt idx="0">
                  <c:v>0.33742117113680492</c:v>
                </c:pt>
              </c:numCache>
            </c:numRef>
          </c:xVal>
          <c:yVal>
            <c:numRef>
              <c:f>Returns!$Q$69</c:f>
              <c:numCache>
                <c:formatCode>0.00%</c:formatCode>
                <c:ptCount val="1"/>
                <c:pt idx="0">
                  <c:v>8.1199772599126308E-2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EF6-47FC-85CE-563B69108A97}"/>
            </c:ext>
          </c:extLst>
        </c:ser>
        <c:ser>
          <c:idx val="8"/>
          <c:order val="8"/>
          <c:tx>
            <c:strRef>
              <c:f>Returns!$R$2</c:f>
              <c:strCache>
                <c:ptCount val="1"/>
                <c:pt idx="0">
                  <c:v>UAL</c:v>
                </c:pt>
              </c:strCache>
            </c:strRef>
          </c:tx>
          <c:spPr>
            <a:ln w="12700">
              <a:solidFill>
                <a:srgbClr val="00CCFF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CCFF"/>
                </a:solidFill>
                <a:prstDash val="solid"/>
              </a:ln>
            </c:spPr>
          </c:marker>
          <c:xVal>
            <c:numRef>
              <c:f>Returns!$R$66</c:f>
              <c:numCache>
                <c:formatCode>0.00%</c:formatCode>
                <c:ptCount val="1"/>
                <c:pt idx="0">
                  <c:v>0.54860151135027946</c:v>
                </c:pt>
              </c:numCache>
            </c:numRef>
          </c:xVal>
          <c:yVal>
            <c:numRef>
              <c:f>Returns!$R$69</c:f>
              <c:numCache>
                <c:formatCode>0.00%</c:formatCode>
                <c:ptCount val="1"/>
                <c:pt idx="0">
                  <c:v>0.11940484264445098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EF6-47FC-85CE-563B69108A97}"/>
            </c:ext>
          </c:extLst>
        </c:ser>
        <c:ser>
          <c:idx val="12"/>
          <c:order val="9"/>
          <c:tx>
            <c:v>Sharpe Max</c:v>
          </c:tx>
          <c:xVal>
            <c:numRef>
              <c:f>'Covar Matrix'!$B$26</c:f>
              <c:numCache>
                <c:formatCode>0.00%</c:formatCode>
                <c:ptCount val="1"/>
                <c:pt idx="0">
                  <c:v>0.22677951460883064</c:v>
                </c:pt>
              </c:numCache>
            </c:numRef>
          </c:xVal>
          <c:yVal>
            <c:numRef>
              <c:f>'Covar Matrix'!$B$27</c:f>
              <c:numCache>
                <c:formatCode>0.00%</c:formatCode>
                <c:ptCount val="1"/>
                <c:pt idx="0">
                  <c:v>9.6050869776298564E-2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EF6-47FC-85CE-563B69108A97}"/>
            </c:ext>
          </c:extLst>
        </c:ser>
        <c:ser>
          <c:idx val="9"/>
          <c:order val="10"/>
          <c:tx>
            <c:strRef>
              <c:f>Returns!$S$2</c:f>
              <c:strCache>
                <c:ptCount val="1"/>
                <c:pt idx="0">
                  <c:v>IVV</c:v>
                </c:pt>
              </c:strCache>
            </c:strRef>
          </c:tx>
          <c:spPr>
            <a:ln w="12700">
              <a:solidFill>
                <a:srgbClr val="CCFFFF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CCFFFF"/>
              </a:solidFill>
              <a:ln>
                <a:solidFill>
                  <a:srgbClr val="CCFFFF"/>
                </a:solidFill>
                <a:prstDash val="solid"/>
              </a:ln>
            </c:spPr>
          </c:marker>
          <c:xVal>
            <c:numRef>
              <c:f>Returns!$S$66</c:f>
              <c:numCache>
                <c:formatCode>0.00%</c:formatCode>
                <c:ptCount val="1"/>
                <c:pt idx="0">
                  <c:v>0.18435200501240048</c:v>
                </c:pt>
              </c:numCache>
            </c:numRef>
          </c:xVal>
          <c:yVal>
            <c:numRef>
              <c:f>Returns!$S$69</c:f>
              <c:numCache>
                <c:formatCode>0.00%</c:formatCode>
                <c:ptCount val="1"/>
                <c:pt idx="0">
                  <c:v>8.6999999999999994E-2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EF6-47FC-85CE-563B69108A97}"/>
            </c:ext>
          </c:extLst>
        </c:ser>
        <c:ser>
          <c:idx val="10"/>
          <c:order val="11"/>
          <c:tx>
            <c:v>CAL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dot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xVal>
            <c:numRef>
              <c:f>'Covar Matrix'!$M$22:$M$24</c:f>
              <c:numCache>
                <c:formatCode>0.00%</c:formatCode>
                <c:ptCount val="3"/>
                <c:pt idx="0" formatCode="0%">
                  <c:v>0</c:v>
                </c:pt>
                <c:pt idx="1">
                  <c:v>0.22677951460883064</c:v>
                </c:pt>
                <c:pt idx="2">
                  <c:v>0.56694878652207659</c:v>
                </c:pt>
              </c:numCache>
            </c:numRef>
          </c:xVal>
          <c:yVal>
            <c:numRef>
              <c:f>'Covar Matrix'!$N$22:$N$24</c:f>
              <c:numCache>
                <c:formatCode>0.000%</c:formatCode>
                <c:ptCount val="3"/>
                <c:pt idx="0" formatCode="0.00%">
                  <c:v>0.03</c:v>
                </c:pt>
                <c:pt idx="1">
                  <c:v>9.6050869776298564E-2</c:v>
                </c:pt>
                <c:pt idx="2">
                  <c:v>0.19512717444074643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EF6-47FC-85CE-563B69108A97}"/>
            </c:ext>
          </c:extLst>
        </c:ser>
        <c:ser>
          <c:idx val="11"/>
          <c:order val="12"/>
          <c:tx>
            <c:v>Optimal</c:v>
          </c:tx>
          <c:xVal>
            <c:numRef>
              <c:f>'Covar Matrix'!$M$18</c:f>
              <c:numCache>
                <c:formatCode>0.00%</c:formatCode>
                <c:ptCount val="1"/>
                <c:pt idx="0">
                  <c:v>9.7085297276856428E-2</c:v>
                </c:pt>
              </c:numCache>
            </c:numRef>
          </c:xVal>
          <c:yVal>
            <c:numRef>
              <c:f>'Covar Matrix'!$M$17</c:f>
              <c:numCache>
                <c:formatCode>0.00%</c:formatCode>
                <c:ptCount val="1"/>
                <c:pt idx="0">
                  <c:v>5.8276664842006748E-2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EF6-47FC-85CE-563B69108A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7144448"/>
        <c:axId val="247146368"/>
      </c:scatterChart>
      <c:valAx>
        <c:axId val="247144448"/>
        <c:scaling>
          <c:orientation val="minMax"/>
          <c:max val="0.5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Standard Deviation</a:t>
                </a:r>
              </a:p>
            </c:rich>
          </c:tx>
          <c:layout>
            <c:manualLayout>
              <c:xMode val="edge"/>
              <c:yMode val="edge"/>
              <c:x val="0.42341040462427748"/>
              <c:y val="0.7097414547319516"/>
            </c:manualLayout>
          </c:layout>
          <c:overlay val="0"/>
          <c:spPr>
            <a:noFill/>
            <a:ln w="25400">
              <a:noFill/>
            </a:ln>
          </c:spPr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47146368"/>
        <c:crosses val="autoZero"/>
        <c:crossBetween val="midCat"/>
      </c:valAx>
      <c:valAx>
        <c:axId val="247146368"/>
        <c:scaling>
          <c:orientation val="minMax"/>
          <c:max val="0.14000000000000001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Expected Return </a:t>
                </a:r>
              </a:p>
            </c:rich>
          </c:tx>
          <c:layout>
            <c:manualLayout>
              <c:xMode val="edge"/>
              <c:yMode val="edge"/>
              <c:x val="2.1676300578034682E-2"/>
              <c:y val="0.25646121820979273"/>
            </c:manualLayout>
          </c:layout>
          <c:overlay val="0"/>
          <c:spPr>
            <a:noFill/>
            <a:ln w="25400">
              <a:noFill/>
            </a:ln>
          </c:spPr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47144448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5.346820809248555E-2"/>
          <c:y val="0.77622891966090446"/>
          <c:w val="0.81610789980732179"/>
          <c:h val="0.1982282961756217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89" r="0.75000000000000089" t="1" header="0.5" footer="0.5"/>
    <c:pageSetup orientation="landscape" horizontalDpi="300" verticalDpi="30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19</xdr:row>
      <xdr:rowOff>152400</xdr:rowOff>
    </xdr:from>
    <xdr:to>
      <xdr:col>10</xdr:col>
      <xdr:colOff>352425</xdr:colOff>
      <xdr:row>45</xdr:row>
      <xdr:rowOff>171450</xdr:rowOff>
    </xdr:to>
    <xdr:graphicFrame macro="">
      <xdr:nvGraphicFramePr>
        <xdr:cNvPr id="2072" name="Chart 1">
          <a:extLst>
            <a:ext uri="{FF2B5EF4-FFF2-40B4-BE49-F238E27FC236}">
              <a16:creationId xmlns:a16="http://schemas.microsoft.com/office/drawing/2014/main" id="{00000000-0008-0000-0300-000018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95250</xdr:colOff>
      <xdr:row>48</xdr:row>
      <xdr:rowOff>38100</xdr:rowOff>
    </xdr:from>
    <xdr:to>
      <xdr:col>10</xdr:col>
      <xdr:colOff>285750</xdr:colOff>
      <xdr:row>74</xdr:row>
      <xdr:rowOff>57150</xdr:rowOff>
    </xdr:to>
    <xdr:graphicFrame macro="">
      <xdr:nvGraphicFramePr>
        <xdr:cNvPr id="2073" name="Chart 1">
          <a:extLst>
            <a:ext uri="{FF2B5EF4-FFF2-40B4-BE49-F238E27FC236}">
              <a16:creationId xmlns:a16="http://schemas.microsoft.com/office/drawing/2014/main" id="{00000000-0008-0000-0300-000019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0.51207</cdr:x>
      <cdr:y>0.49877</cdr:y>
    </cdr:from>
    <cdr:to>
      <cdr:x>0.52784</cdr:x>
      <cdr:y>0.5642</cdr:y>
    </cdr:to>
    <cdr:sp macro="" textlink="">
      <cdr:nvSpPr>
        <cdr:cNvPr id="4198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83281" y="2397593"/>
          <a:ext cx="104089" cy="31408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45720" tIns="36576" rIns="45720" bIns="36576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1825" b="0" i="0" strike="noStrike">
              <a:solidFill>
                <a:srgbClr val="000000"/>
              </a:solidFill>
              <a:latin typeface="Arial"/>
              <a:cs typeface="Arial"/>
            </a:rPr>
            <a:t>     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0.51207</cdr:x>
      <cdr:y>0.49877</cdr:y>
    </cdr:from>
    <cdr:to>
      <cdr:x>0.52784</cdr:x>
      <cdr:y>0.5642</cdr:y>
    </cdr:to>
    <cdr:sp macro="" textlink="">
      <cdr:nvSpPr>
        <cdr:cNvPr id="4198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83281" y="2397593"/>
          <a:ext cx="104089" cy="31408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45720" tIns="36576" rIns="45720" bIns="36576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1825" b="0" i="0" strike="noStrike">
              <a:solidFill>
                <a:srgbClr val="000000"/>
              </a:solidFill>
              <a:latin typeface="Arial"/>
              <a:cs typeface="Arial"/>
            </a:rPr>
            <a:t>     </a:t>
          </a:r>
        </a:p>
      </cdr:txBody>
    </cdr:sp>
  </cdr:relSizeAnchor>
</c:userShape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10">
  <a r="1" c="61">
    <v t="i">0</v>
    <v t="i">31</v>
    <v t="i">62</v>
    <v t="i">91</v>
    <v t="i">122</v>
    <v t="i">152</v>
    <v t="i">183</v>
    <v t="i">213</v>
    <v t="i">244</v>
    <v t="i">275</v>
    <v t="i">305</v>
    <v t="i">336</v>
    <v t="i">366</v>
    <v t="i">397</v>
    <v t="i">428</v>
    <v t="i">456</v>
    <v t="i">487</v>
    <v t="i">517</v>
    <v t="i">548</v>
    <v t="i">578</v>
    <v t="i">609</v>
    <v t="i">640</v>
    <v t="i">670</v>
    <v t="i">701</v>
    <v t="i">731</v>
    <v t="i">762</v>
    <v t="i">793</v>
    <v t="i">821</v>
    <v t="i">852</v>
    <v t="i">882</v>
    <v t="i">913</v>
    <v t="i">943</v>
    <v t="i">974</v>
    <v t="i">1005</v>
    <v t="i">1035</v>
    <v t="i">1066</v>
    <v t="i">1096</v>
    <v t="i">1127</v>
    <v t="i">1158</v>
    <v t="i">1186</v>
    <v t="i">1217</v>
    <v t="i">1247</v>
    <v t="i">1278</v>
    <v t="i">1308</v>
    <v t="i">1339</v>
    <v t="i">1370</v>
    <v t="i">1400</v>
    <v t="i">1431</v>
    <v t="i">1461</v>
    <v t="i">1492</v>
    <v t="i">1523</v>
    <v t="i">1552</v>
    <v t="i">1583</v>
    <v t="i">1613</v>
    <v t="i">1644</v>
    <v t="i">1674</v>
    <v t="i">1705</v>
    <v t="i">1736</v>
    <v t="i">1766</v>
    <v t="i">1797</v>
    <v t="i">1827</v>
  </a>
  <a r="1" c="61">
    <v>63.15</v>
    <v>64.78</v>
    <v>57.61</v>
    <v>53.37</v>
    <v>71.92</v>
    <v>77.89</v>
    <v>79.41</v>
    <v>94.67</v>
    <v>98.29</v>
    <v>82.28</v>
    <v>76.599999999999994</v>
    <v>80.36</v>
    <v>84.85</v>
    <v>102.28</v>
    <v>90.19</v>
    <v>88.64</v>
    <v>96.72</v>
    <v>93.95</v>
    <v>104.44</v>
    <v>114.12</v>
    <v>127.53</v>
    <v>126.99</v>
    <v>124.08</v>
    <v>121.92</v>
    <v>133.47</v>
    <v>123.45</v>
    <v>106.82</v>
    <v>105.28</v>
    <v>91.05</v>
    <v>88.01</v>
    <v>83.52</v>
    <v>95.89</v>
    <v>80.83</v>
    <v>70.010000000000005</v>
    <v>72.63</v>
    <v>83.26</v>
    <v>82.31</v>
    <v>89.69</v>
    <v>83.95</v>
    <v>74.930000000000007</v>
    <v>74.790000000000006</v>
    <v>70.11</v>
    <v>73.83</v>
    <v>82.7</v>
    <v>75.7</v>
    <v>68.22</v>
    <v>65.02</v>
    <v>65.239999999999995</v>
    <v>76.23</v>
    <v>73.48</v>
    <v>71.89</v>
    <v>66.599999999999994</v>
    <v>61.69</v>
    <v>46.46</v>
    <v>46.98</v>
    <v>44.23</v>
    <v>47.37</v>
    <v>53.87</v>
    <v>52.39</v>
    <v>49.83</v>
    <v>41.07</v>
  </a>
  <a r="1" c="61">
    <v>73.412499999999994</v>
    <v>77.377499999999998</v>
    <v>68.34</v>
    <v>63.572499999999998</v>
    <v>73.45</v>
    <v>79.484999999999999</v>
    <v>91.2</v>
    <v>106.26</v>
    <v>129.04</v>
    <v>115.81</v>
    <v>108.86</v>
    <v>119.05</v>
    <v>132.69</v>
    <v>131.96</v>
    <v>121.26</v>
    <v>122.15</v>
    <v>131.46</v>
    <v>124.61</v>
    <v>136.96</v>
    <v>145.86000000000001</v>
    <v>151.83000000000001</v>
    <v>141.5</v>
    <v>149.80000000000001</v>
    <v>165.3</v>
    <v>177.57</v>
    <v>174.78</v>
    <v>165.12</v>
    <v>174.61</v>
    <v>157.65</v>
    <v>148.84</v>
    <v>136.72</v>
    <v>162.51</v>
    <v>157.22</v>
    <v>138.19999999999999</v>
    <v>153.34</v>
    <v>148.03</v>
    <v>129.93</v>
    <v>144.29</v>
    <v>147.41</v>
    <v>164.9</v>
    <v>169.68</v>
    <v>177.25</v>
    <v>193.97</v>
    <v>196.45</v>
    <v>187.87</v>
    <v>171.21</v>
    <v>170.77</v>
    <v>189.95</v>
    <v>192.53</v>
    <v>184.4</v>
    <v>180.75</v>
    <v>171.48</v>
    <v>170.33</v>
    <v>192.25</v>
    <v>210.62</v>
    <v>222.08</v>
    <v>229</v>
    <v>233</v>
    <v>225.91</v>
    <v>237.33</v>
    <v>250.42</v>
  </a>
  <a r="1" c="61">
    <v>86.723600000000005</v>
    <v>81.4696</v>
    <v>73.002300000000005</v>
    <v>73.364599999999996</v>
    <v>75.653099999999995</v>
    <v>76.968900000000005</v>
    <v>73.736500000000007</v>
    <v>76.511200000000002</v>
    <v>81.307500000000005</v>
    <v>79.095299999999995</v>
    <v>71.715000000000003</v>
    <v>76.654300000000006</v>
    <v>77.998800000000003</v>
    <v>73.488600000000005</v>
    <v>69.2453</v>
    <v>73.507599999999996</v>
    <v>71.037999999999997</v>
    <v>72.363399999999999</v>
    <v>77.77</v>
    <v>76.87</v>
    <v>76.290000000000006</v>
    <v>75.11</v>
    <v>88.05</v>
    <v>74.91</v>
    <v>76.64</v>
    <v>81.48</v>
    <v>76.58</v>
    <v>82.05</v>
    <v>88.69</v>
    <v>92.03</v>
    <v>91.17</v>
    <v>89.34</v>
    <v>85.36</v>
    <v>86.12</v>
    <v>101.2</v>
    <v>110.12</v>
    <v>110.95</v>
    <v>107.41</v>
    <v>106.24</v>
    <v>106.39</v>
    <v>115.47</v>
    <v>110.41</v>
    <v>115.39</v>
    <v>106.65</v>
    <v>108.98</v>
    <v>102.95</v>
    <v>102.7</v>
    <v>102.48</v>
    <v>109.02</v>
    <v>120.78</v>
    <v>127.15</v>
    <v>131.94999999999999</v>
    <v>129.22</v>
    <v>125.54</v>
    <v>123.8</v>
    <v>113.13</v>
    <v>118.45</v>
    <v>113.56</v>
    <v>102.32</v>
    <v>101.64</v>
    <v>99.48</v>
  </a>
  <a r="1" c="61">
    <v>88.09</v>
    <v>74.8</v>
    <v>61.59</v>
    <v>31.55</v>
    <v>29.58</v>
    <v>28.04</v>
    <v>34.61</v>
    <v>31.38</v>
    <v>36</v>
    <v>34.75</v>
    <v>33.86</v>
    <v>45.05</v>
    <v>43.25</v>
    <v>39.99</v>
    <v>52.68</v>
    <v>57.54</v>
    <v>54.4</v>
    <v>58.35</v>
    <v>52.29</v>
    <v>46.72</v>
    <v>46.51</v>
    <v>47.57</v>
    <v>46.14</v>
    <v>42.26</v>
    <v>43.78</v>
    <v>42.88</v>
    <v>44.4</v>
    <v>46.36</v>
    <v>50.5</v>
    <v>47.63</v>
    <v>35.42</v>
    <v>36.75</v>
    <v>35.01</v>
    <v>32.53</v>
    <v>43.08</v>
    <v>44.17</v>
    <v>37.700000000000003</v>
    <v>48.96</v>
    <v>51.96</v>
    <v>44.25</v>
    <v>43.8</v>
    <v>47.465000000000003</v>
    <v>54.87</v>
    <v>54.31</v>
    <v>49.81</v>
    <v>42.3</v>
    <v>35.01</v>
    <v>39.4</v>
    <v>41.26</v>
    <v>41.38</v>
    <v>45.49</v>
    <v>47.88</v>
    <v>51.46</v>
    <v>52.99</v>
    <v>48.66</v>
    <v>45.42</v>
    <v>44.04</v>
    <v>57.06</v>
    <v>78.260000000000005</v>
    <v>96.83</v>
    <v>97.1</v>
  </a>
  <a r="1" c="61">
    <v>93.74</v>
    <v>91.06</v>
    <v>75.45</v>
    <v>52.14</v>
    <v>62.37</v>
    <v>60.96</v>
    <v>60.9</v>
    <v>63.37</v>
    <v>67.77</v>
    <v>63.52</v>
    <v>64.02</v>
    <v>75.62</v>
    <v>78.069999999999993</v>
    <v>78.28</v>
    <v>86.72</v>
    <v>91.1</v>
    <v>100.36</v>
    <v>106.97</v>
    <v>102.47</v>
    <v>100.28</v>
    <v>105.88</v>
    <v>105.2</v>
    <v>110.05</v>
    <v>102.26</v>
    <v>108.24</v>
    <v>111.57</v>
    <v>111.66</v>
    <v>118.17</v>
    <v>108.51</v>
    <v>106.25</v>
    <v>95.68</v>
    <v>99.99</v>
    <v>95.75</v>
    <v>85.78</v>
    <v>105.19</v>
    <v>108.03</v>
    <v>99.46</v>
    <v>104.94</v>
    <v>100</v>
    <v>82.74</v>
    <v>87</v>
    <v>78.69</v>
    <v>88.22</v>
    <v>96.49</v>
    <v>94.67</v>
    <v>94.89</v>
    <v>91.44</v>
    <v>97.78</v>
    <v>103.71</v>
    <v>104.93</v>
    <v>108.99</v>
    <v>117.4</v>
    <v>110.48</v>
    <v>120.35</v>
    <v>117.19</v>
    <v>125.32</v>
    <v>121.16</v>
    <v>121.1</v>
    <v>122.48</v>
    <v>129.41</v>
    <v>118.53</v>
  </a>
  <a r="1" c="61">
    <v>55.562899999999999</v>
    <v>61.985500000000002</v>
    <v>54.168900000000001</v>
    <v>39.531300000000002</v>
    <v>33.855499999999999</v>
    <v>32.7104</v>
    <v>34.004899999999999</v>
    <v>30.2211</v>
    <v>31.565300000000001</v>
    <v>31.017700000000001</v>
    <v>36.942399999999999</v>
    <v>50.683700000000002</v>
    <v>53.770600000000002</v>
    <v>53.173099999999998</v>
    <v>62.433599999999998</v>
    <v>65.371099999999998</v>
    <v>65.321299999999994</v>
    <v>70.001300000000001</v>
    <v>67.014099999999999</v>
    <v>64.474900000000005</v>
    <v>65.601299999999995</v>
    <v>64.120199999999997</v>
    <v>65.265299999999996</v>
    <v>59.116500000000002</v>
    <v>58.792900000000003</v>
    <v>58.799100000000003</v>
    <v>59.440100000000001</v>
    <v>56.944499999999998</v>
    <v>46.395800000000001</v>
    <v>48.723399999999998</v>
    <v>39.624699999999997</v>
    <v>45.997500000000002</v>
    <v>45.704999999999998</v>
    <v>38.529400000000003</v>
    <v>48.424599999999998</v>
    <v>53.503</v>
    <v>52.146299999999997</v>
    <v>64.185199999999995</v>
    <v>67.558800000000005</v>
    <v>76.243899999999996</v>
    <v>78.9315</v>
    <v>80.973200000000006</v>
    <v>87.608699999999999</v>
    <v>91.109800000000007</v>
    <v>91.285300000000007</v>
    <v>88.166899999999998</v>
    <v>86.6357</v>
    <v>97.139200000000002</v>
    <v>101.78879999999999</v>
    <v>105.60890000000001</v>
    <v>125.1245</v>
    <v>139.99039999999999</v>
    <v>161.82</v>
    <v>165.14</v>
    <v>158.97</v>
    <v>170.2</v>
    <v>174.62</v>
    <v>188.58</v>
    <v>171.78</v>
    <v>182.16</v>
    <v>166.79</v>
  </a>
  <a r="1" c="61">
    <v>69.78</v>
    <v>62.12</v>
    <v>51.44</v>
    <v>37.97</v>
    <v>46.47</v>
    <v>45.47</v>
    <v>44.72</v>
    <v>42.08</v>
    <v>39.94</v>
    <v>34.33</v>
    <v>32.619999999999997</v>
    <v>38.130000000000003</v>
    <v>41.22</v>
    <v>44.84</v>
    <v>54.37</v>
    <v>55.83</v>
    <v>57.24</v>
    <v>58.37</v>
    <v>63.08</v>
    <v>57.57</v>
    <v>54.52</v>
    <v>58.82</v>
    <v>64.47</v>
    <v>59.84</v>
    <v>61.19</v>
    <v>75.959999999999994</v>
    <v>78.42</v>
    <v>82.59</v>
    <v>85.25</v>
    <v>96</v>
    <v>85.64</v>
    <v>96.93</v>
    <v>95.59</v>
    <v>87.31</v>
    <v>110.81</v>
    <v>111.34</v>
    <v>110.3</v>
    <v>116.01</v>
    <v>109.91</v>
    <v>109.66</v>
    <v>118.34</v>
    <v>102.18</v>
    <v>107.25</v>
    <v>107.24</v>
    <v>111.19</v>
    <v>117.58</v>
    <v>105.85</v>
    <v>102.74</v>
    <v>99.98</v>
    <v>102.81</v>
    <v>104.52</v>
    <v>116.24</v>
    <v>118.27</v>
    <v>117.26</v>
    <v>115.12</v>
    <v>118.59</v>
    <v>117.94</v>
    <v>117.22</v>
    <v>116.78</v>
    <v>117.96</v>
    <v>107.57</v>
  </a>
  <a r="1" c="61">
    <v>144.63</v>
    <v>138.31</v>
    <v>117.65</v>
    <v>96.6</v>
    <v>108.15</v>
    <v>117.3</v>
    <v>111.51</v>
    <v>116.94</v>
    <v>131.87</v>
    <v>124.08</v>
    <v>121.25</v>
    <v>148.01</v>
    <v>181.18</v>
    <v>168.17</v>
    <v>189.04</v>
    <v>184.52</v>
    <v>186.02</v>
    <v>178.65</v>
    <v>175.77</v>
    <v>176.02</v>
    <v>181.3</v>
    <v>169.17</v>
    <v>169.07</v>
    <v>144.9</v>
    <v>154.88999999999999</v>
    <v>142.97</v>
    <v>148.46</v>
    <v>137.16</v>
    <v>111.63</v>
    <v>110.44</v>
    <v>94.4</v>
    <v>106.1</v>
    <v>112.08</v>
    <v>94.33</v>
    <v>106.54</v>
    <v>97.87</v>
    <v>86.88</v>
    <v>108.49</v>
    <v>99.61</v>
    <v>100.13</v>
    <v>102.5</v>
    <v>87.96</v>
    <v>89.28</v>
    <v>88.89</v>
    <v>83.68</v>
    <v>81.05</v>
    <v>81.59</v>
    <v>92.69</v>
    <v>90.29</v>
    <v>96.05</v>
    <v>111.58</v>
    <v>122.36</v>
    <v>111.1</v>
    <v>103.91</v>
    <v>99.29</v>
    <v>93.69</v>
    <v>90.38</v>
    <v>96.19</v>
    <v>96.2</v>
    <v>117.47</v>
    <v>111.35</v>
  </a>
  <a r="1" c="61">
    <v>323.24</v>
    <v>323.24</v>
    <v>295.91000000000003</v>
    <v>258.39999999999998</v>
    <v>291.16000000000003</v>
    <v>305.18</v>
    <v>309.69</v>
    <v>327.82</v>
    <v>350.77</v>
    <v>336.06</v>
    <v>327.62</v>
    <v>363.32</v>
    <v>375.39</v>
    <v>371.52</v>
    <v>381.77</v>
    <v>397.82</v>
    <v>418.88</v>
    <v>421.65</v>
    <v>429.92</v>
    <v>440.4</v>
    <v>453.71</v>
    <v>430.82</v>
    <v>460.99</v>
    <v>457.63</v>
    <v>476.99</v>
    <v>451.77</v>
    <v>438.72</v>
    <v>453.69</v>
    <v>413.56</v>
    <v>414.87</v>
    <v>379.15</v>
    <v>414.28</v>
    <v>397.18</v>
    <v>358.65</v>
    <v>387.79</v>
    <v>409.32</v>
    <v>384.21</v>
    <v>408.31</v>
    <v>397.97</v>
    <v>411.08</v>
    <v>417.66</v>
    <v>419.43</v>
    <v>445.71</v>
    <v>460.18</v>
    <v>452.69</v>
    <v>429.43</v>
    <v>419.94</v>
    <v>458.42</v>
    <v>477.63</v>
    <v>485.2</v>
    <v>510.45</v>
    <v>525.73</v>
    <v>504.44</v>
    <v>529.96</v>
    <v>547.23</v>
    <v>553.32000000000005</v>
    <v>566.75</v>
    <v>576.82000000000005</v>
    <v>571.24</v>
    <v>605.07000000000005</v>
    <v>588.67999999999995</v>
  </a>
</arrayData>
</file>

<file path=xl/richData/rdrichvalue.xml><?xml version="1.0" encoding="utf-8"?>
<rvData xmlns="http://schemas.microsoft.com/office/spreadsheetml/2017/richdata" count="554">
  <rv s="0">
    <fb>63.15</fb>
    <v>0</v>
  </rv>
  <rv s="0">
    <fb>73.412499999999994</fb>
    <v>0</v>
  </rv>
  <rv s="0">
    <fb>93.74</fb>
    <v>0</v>
  </rv>
  <rv s="0">
    <fb>144.63</fb>
    <v>0</v>
  </rv>
  <rv s="0">
    <fb>55.562899999999999</fb>
    <v>0</v>
  </rv>
  <rv s="0">
    <fb>86.723600000000005</fb>
    <v>0</v>
  </rv>
  <rv s="0">
    <fb>69.78</fb>
    <v>0</v>
  </rv>
  <rv s="0">
    <fb>88.09</fb>
    <v>0</v>
  </rv>
  <rv s="0">
    <fb>323.24</fb>
    <v>0</v>
  </rv>
  <rv s="0">
    <fb>64.78</fb>
    <v>0</v>
  </rv>
  <rv s="0">
    <fb>77.377499999999998</fb>
    <v>0</v>
  </rv>
  <rv s="0">
    <fb>91.06</fb>
    <v>0</v>
  </rv>
  <rv s="0">
    <fb>138.31</fb>
    <v>0</v>
  </rv>
  <rv s="0">
    <fb>61.985500000000002</fb>
    <v>0</v>
  </rv>
  <rv s="0">
    <fb>81.4696</fb>
    <v>0</v>
  </rv>
  <rv s="0">
    <fb>62.12</fb>
    <v>0</v>
  </rv>
  <rv s="0">
    <fb>74.8</fb>
    <v>0</v>
  </rv>
  <rv s="0">
    <fb>57.61</fb>
    <v>0</v>
  </rv>
  <rv s="0">
    <fb>68.34</fb>
    <v>0</v>
  </rv>
  <rv s="0">
    <fb>75.45</fb>
    <v>0</v>
  </rv>
  <rv s="0">
    <fb>117.65</fb>
    <v>0</v>
  </rv>
  <rv s="0">
    <fb>54.168900000000001</fb>
    <v>0</v>
  </rv>
  <rv s="0">
    <fb>73.002300000000005</fb>
    <v>0</v>
  </rv>
  <rv s="0">
    <fb>51.44</fb>
    <v>0</v>
  </rv>
  <rv s="0">
    <fb>61.59</fb>
    <v>0</v>
  </rv>
  <rv s="0">
    <fb>295.91000000000003</fb>
    <v>0</v>
  </rv>
  <rv s="0">
    <fb>53.37</fb>
    <v>0</v>
  </rv>
  <rv s="0">
    <fb>63.572499999999998</fb>
    <v>0</v>
  </rv>
  <rv s="0">
    <fb>52.14</fb>
    <v>0</v>
  </rv>
  <rv s="0">
    <fb>96.6</fb>
    <v>0</v>
  </rv>
  <rv s="0">
    <fb>39.531300000000002</fb>
    <v>0</v>
  </rv>
  <rv s="0">
    <fb>73.364599999999996</fb>
    <v>0</v>
  </rv>
  <rv s="0">
    <fb>37.97</fb>
    <v>0</v>
  </rv>
  <rv s="0">
    <fb>31.55</fb>
    <v>0</v>
  </rv>
  <rv s="0">
    <fb>258.39999999999998</fb>
    <v>0</v>
  </rv>
  <rv s="0">
    <fb>71.92</fb>
    <v>0</v>
  </rv>
  <rv s="0">
    <fb>73.45</fb>
    <v>0</v>
  </rv>
  <rv s="0">
    <fb>62.37</fb>
    <v>0</v>
  </rv>
  <rv s="0">
    <fb>108.15</fb>
    <v>0</v>
  </rv>
  <rv s="0">
    <fb>33.855499999999999</fb>
    <v>0</v>
  </rv>
  <rv s="0">
    <fb>75.653099999999995</fb>
    <v>0</v>
  </rv>
  <rv s="0">
    <fb>46.47</fb>
    <v>0</v>
  </rv>
  <rv s="0">
    <fb>29.58</fb>
    <v>0</v>
  </rv>
  <rv s="0">
    <fb>291.16000000000003</fb>
    <v>0</v>
  </rv>
  <rv s="0">
    <fb>77.89</fb>
    <v>0</v>
  </rv>
  <rv s="0">
    <fb>79.484999999999999</fb>
    <v>0</v>
  </rv>
  <rv s="0">
    <fb>60.96</fb>
    <v>0</v>
  </rv>
  <rv s="0">
    <fb>117.3</fb>
    <v>0</v>
  </rv>
  <rv s="0">
    <fb>32.7104</fb>
    <v>0</v>
  </rv>
  <rv s="0">
    <fb>76.968900000000005</fb>
    <v>0</v>
  </rv>
  <rv s="0">
    <fb>45.47</fb>
    <v>0</v>
  </rv>
  <rv s="0">
    <fb>28.04</fb>
    <v>0</v>
  </rv>
  <rv s="0">
    <fb>305.18</fb>
    <v>0</v>
  </rv>
  <rv s="0">
    <fb>79.41</fb>
    <v>0</v>
  </rv>
  <rv s="0">
    <fb>91.2</fb>
    <v>0</v>
  </rv>
  <rv s="0">
    <fb>60.9</fb>
    <v>0</v>
  </rv>
  <rv s="0">
    <fb>111.51</fb>
    <v>0</v>
  </rv>
  <rv s="0">
    <fb>34.004899999999999</fb>
    <v>0</v>
  </rv>
  <rv s="0">
    <fb>73.736500000000007</fb>
    <v>0</v>
  </rv>
  <rv s="0">
    <fb>44.72</fb>
    <v>0</v>
  </rv>
  <rv s="0">
    <fb>34.61</fb>
    <v>0</v>
  </rv>
  <rv s="0">
    <fb>309.69</fb>
    <v>0</v>
  </rv>
  <rv s="0">
    <fb>94.67</fb>
    <v>0</v>
  </rv>
  <rv s="0">
    <fb>106.26</fb>
    <v>0</v>
  </rv>
  <rv s="0">
    <fb>63.37</fb>
    <v>0</v>
  </rv>
  <rv s="0">
    <fb>116.94</fb>
    <v>0</v>
  </rv>
  <rv s="0">
    <fb>30.2211</fb>
    <v>0</v>
  </rv>
  <rv s="0">
    <fb>76.511200000000002</fb>
    <v>0</v>
  </rv>
  <rv s="0">
    <fb>42.08</fb>
    <v>0</v>
  </rv>
  <rv s="0">
    <fb>31.38</fb>
    <v>0</v>
  </rv>
  <rv s="0">
    <fb>327.82</fb>
    <v>0</v>
  </rv>
  <rv s="0">
    <fb>98.29</fb>
    <v>0</v>
  </rv>
  <rv s="0">
    <fb>129.04</fb>
    <v>0</v>
  </rv>
  <rv s="0">
    <fb>67.77</fb>
    <v>0</v>
  </rv>
  <rv s="0">
    <fb>131.87</fb>
    <v>0</v>
  </rv>
  <rv s="0">
    <fb>31.565300000000001</fb>
    <v>0</v>
  </rv>
  <rv s="0">
    <fb>81.307500000000005</fb>
    <v>0</v>
  </rv>
  <rv s="0">
    <fb>39.94</fb>
    <v>0</v>
  </rv>
  <rv s="0">
    <fb>36</fb>
    <v>0</v>
  </rv>
  <rv s="0">
    <fb>350.77</fb>
    <v>0</v>
  </rv>
  <rv s="0">
    <fb>82.28</fb>
    <v>0</v>
  </rv>
  <rv s="0">
    <fb>115.81</fb>
    <v>0</v>
  </rv>
  <rv s="0">
    <fb>63.52</fb>
    <v>0</v>
  </rv>
  <rv s="0">
    <fb>124.08</fb>
    <v>0</v>
  </rv>
  <rv s="0">
    <fb>31.017700000000001</fb>
    <v>0</v>
  </rv>
  <rv s="0">
    <fb>79.095299999999995</fb>
    <v>0</v>
  </rv>
  <rv s="0">
    <fb>34.33</fb>
    <v>0</v>
  </rv>
  <rv s="0">
    <fb>34.75</fb>
    <v>0</v>
  </rv>
  <rv s="0">
    <fb>336.06</fb>
    <v>0</v>
  </rv>
  <rv s="0">
    <fb>76.599999999999994</fb>
    <v>0</v>
  </rv>
  <rv s="0">
    <fb>108.86</fb>
    <v>0</v>
  </rv>
  <rv s="0">
    <fb>64.02</fb>
    <v>0</v>
  </rv>
  <rv s="0">
    <fb>121.25</fb>
    <v>0</v>
  </rv>
  <rv s="0">
    <fb>36.942399999999999</fb>
    <v>0</v>
  </rv>
  <rv s="0">
    <fb>71.715000000000003</fb>
    <v>0</v>
  </rv>
  <rv s="0">
    <fb>32.619999999999997</fb>
    <v>0</v>
  </rv>
  <rv s="0">
    <fb>33.86</fb>
    <v>0</v>
  </rv>
  <rv s="0">
    <fb>327.62</fb>
    <v>0</v>
  </rv>
  <rv s="0">
    <fb>80.36</fb>
    <v>0</v>
  </rv>
  <rv s="0">
    <fb>119.05</fb>
    <v>0</v>
  </rv>
  <rv s="0">
    <fb>75.62</fb>
    <v>0</v>
  </rv>
  <rv s="0">
    <fb>148.01</fb>
    <v>0</v>
  </rv>
  <rv s="0">
    <fb>50.683700000000002</fb>
    <v>0</v>
  </rv>
  <rv s="0">
    <fb>76.654300000000006</fb>
    <v>0</v>
  </rv>
  <rv s="0">
    <fb>38.130000000000003</fb>
    <v>0</v>
  </rv>
  <rv s="0">
    <fb>45.05</fb>
    <v>0</v>
  </rv>
  <rv s="0">
    <fb>363.32</fb>
    <v>0</v>
  </rv>
  <rv s="0">
    <fb>84.85</fb>
    <v>0</v>
  </rv>
  <rv s="0">
    <fb>132.69</fb>
    <v>0</v>
  </rv>
  <rv s="0">
    <fb>78.069999999999993</fb>
    <v>0</v>
  </rv>
  <rv s="0">
    <fb>181.18</fb>
    <v>0</v>
  </rv>
  <rv s="0">
    <fb>53.770600000000002</fb>
    <v>0</v>
  </rv>
  <rv s="0">
    <fb>77.998800000000003</fb>
    <v>0</v>
  </rv>
  <rv s="0">
    <fb>41.22</fb>
    <v>0</v>
  </rv>
  <rv s="0">
    <fb>43.25</fb>
    <v>0</v>
  </rv>
  <rv s="0">
    <fb>375.39</fb>
    <v>0</v>
  </rv>
  <rv s="0">
    <fb>102.28</fb>
    <v>0</v>
  </rv>
  <rv s="0">
    <fb>131.96</fb>
    <v>0</v>
  </rv>
  <rv s="0">
    <fb>78.28</fb>
    <v>0</v>
  </rv>
  <rv s="0">
    <fb>168.17</fb>
    <v>0</v>
  </rv>
  <rv s="0">
    <fb>53.173099999999998</fb>
    <v>0</v>
  </rv>
  <rv s="0">
    <fb>73.488600000000005</fb>
    <v>0</v>
  </rv>
  <rv s="0">
    <fb>44.84</fb>
    <v>0</v>
  </rv>
  <rv s="0">
    <fb>39.99</fb>
    <v>0</v>
  </rv>
  <rv s="0">
    <fb>371.52</fb>
    <v>0</v>
  </rv>
  <rv s="0">
    <fb>90.19</fb>
    <v>0</v>
  </rv>
  <rv s="0">
    <fb>121.26</fb>
    <v>0</v>
  </rv>
  <rv s="0">
    <fb>86.72</fb>
    <v>0</v>
  </rv>
  <rv s="0">
    <fb>189.04</fb>
    <v>0</v>
  </rv>
  <rv s="0">
    <fb>62.433599999999998</fb>
    <v>0</v>
  </rv>
  <rv s="0">
    <fb>69.2453</fb>
    <v>0</v>
  </rv>
  <rv s="0">
    <fb>54.37</fb>
    <v>0</v>
  </rv>
  <rv s="0">
    <fb>52.68</fb>
    <v>0</v>
  </rv>
  <rv s="0">
    <fb>381.77</fb>
    <v>0</v>
  </rv>
  <rv s="0">
    <fb>88.64</fb>
    <v>0</v>
  </rv>
  <rv s="0">
    <fb>122.15</fb>
    <v>0</v>
  </rv>
  <rv s="0">
    <fb>91.1</fb>
    <v>0</v>
  </rv>
  <rv s="0">
    <fb>184.52</fb>
    <v>0</v>
  </rv>
  <rv s="0">
    <fb>65.371099999999998</fb>
    <v>0</v>
  </rv>
  <rv s="0">
    <fb>73.507599999999996</fb>
    <v>0</v>
  </rv>
  <rv s="0">
    <fb>55.83</fb>
    <v>0</v>
  </rv>
  <rv s="0">
    <fb>57.54</fb>
    <v>0</v>
  </rv>
  <rv s="0">
    <fb>397.82</fb>
    <v>0</v>
  </rv>
  <rv s="0">
    <fb>96.72</fb>
    <v>0</v>
  </rv>
  <rv s="0">
    <fb>131.46</fb>
    <v>0</v>
  </rv>
  <rv s="0">
    <fb>100.36</fb>
    <v>0</v>
  </rv>
  <rv s="0">
    <fb>186.02</fb>
    <v>0</v>
  </rv>
  <rv s="0">
    <fb>65.321299999999994</fb>
    <v>0</v>
  </rv>
  <rv s="0">
    <fb>71.037999999999997</fb>
    <v>0</v>
  </rv>
  <rv s="0">
    <fb>57.24</fb>
    <v>0</v>
  </rv>
  <rv s="0">
    <fb>54.4</fb>
    <v>0</v>
  </rv>
  <rv s="0">
    <fb>418.88</fb>
    <v>0</v>
  </rv>
  <rv s="0">
    <fb>93.95</fb>
    <v>0</v>
  </rv>
  <rv s="0">
    <fb>124.61</fb>
    <v>0</v>
  </rv>
  <rv s="0">
    <fb>106.97</fb>
    <v>0</v>
  </rv>
  <rv s="0">
    <fb>178.65</fb>
    <v>0</v>
  </rv>
  <rv s="0">
    <fb>70.001300000000001</fb>
    <v>0</v>
  </rv>
  <rv s="0">
    <fb>72.363399999999999</fb>
    <v>0</v>
  </rv>
  <rv s="0">
    <fb>58.37</fb>
    <v>0</v>
  </rv>
  <rv s="0">
    <fb>58.35</fb>
    <v>0</v>
  </rv>
  <rv s="0">
    <fb>421.65</fb>
    <v>0</v>
  </rv>
  <rv s="0">
    <fb>104.44</fb>
    <v>0</v>
  </rv>
  <rv s="0">
    <fb>136.96</fb>
    <v>0</v>
  </rv>
  <rv s="0">
    <fb>102.47</fb>
    <v>0</v>
  </rv>
  <rv s="0">
    <fb>175.77</fb>
    <v>0</v>
  </rv>
  <rv s="0">
    <fb>67.014099999999999</fb>
    <v>0</v>
  </rv>
  <rv s="0">
    <fb>77.77</fb>
    <v>0</v>
  </rv>
  <rv s="0">
    <fb>63.08</fb>
    <v>0</v>
  </rv>
  <rv s="0">
    <fb>52.29</fb>
    <v>0</v>
  </rv>
  <rv s="0">
    <fb>429.92</fb>
    <v>0</v>
  </rv>
  <rv s="0">
    <fb>114.12</fb>
    <v>0</v>
  </rv>
  <rv s="0">
    <fb>145.86000000000001</fb>
    <v>0</v>
  </rv>
  <rv s="0">
    <fb>100.28</fb>
    <v>0</v>
  </rv>
  <rv s="0">
    <fb>176.02</fb>
    <v>0</v>
  </rv>
  <rv s="0">
    <fb>64.474900000000005</fb>
    <v>0</v>
  </rv>
  <rv s="0">
    <fb>76.87</fb>
    <v>0</v>
  </rv>
  <rv s="0">
    <fb>57.57</fb>
    <v>0</v>
  </rv>
  <rv s="0">
    <fb>46.72</fb>
    <v>0</v>
  </rv>
  <rv s="0">
    <fb>440.4</fb>
    <v>0</v>
  </rv>
  <rv s="0">
    <fb>127.53</fb>
    <v>0</v>
  </rv>
  <rv s="0">
    <fb>151.83000000000001</fb>
    <v>0</v>
  </rv>
  <rv s="0">
    <fb>105.88</fb>
    <v>0</v>
  </rv>
  <rv s="0">
    <fb>181.3</fb>
    <v>0</v>
  </rv>
  <rv s="0">
    <fb>65.601299999999995</fb>
    <v>0</v>
  </rv>
  <rv s="0">
    <fb>76.290000000000006</fb>
    <v>0</v>
  </rv>
  <rv s="0">
    <fb>54.52</fb>
    <v>0</v>
  </rv>
  <rv s="0">
    <fb>46.51</fb>
    <v>0</v>
  </rv>
  <rv s="0">
    <fb>453.71</fb>
    <v>0</v>
  </rv>
  <rv s="0">
    <fb>126.99</fb>
    <v>0</v>
  </rv>
  <rv s="0">
    <fb>141.5</fb>
    <v>0</v>
  </rv>
  <rv s="0">
    <fb>105.2</fb>
    <v>0</v>
  </rv>
  <rv s="0">
    <fb>169.17</fb>
    <v>0</v>
  </rv>
  <rv s="0">
    <fb>64.120199999999997</fb>
    <v>0</v>
  </rv>
  <rv s="0">
    <fb>75.11</fb>
    <v>0</v>
  </rv>
  <rv s="0">
    <fb>58.82</fb>
    <v>0</v>
  </rv>
  <rv s="0">
    <fb>47.57</fb>
    <v>0</v>
  </rv>
  <rv s="0">
    <fb>430.82</fb>
    <v>0</v>
  </rv>
  <rv s="0">
    <fb>149.80000000000001</fb>
    <v>0</v>
  </rv>
  <rv s="0">
    <fb>110.05</fb>
    <v>0</v>
  </rv>
  <rv s="0">
    <fb>169.07</fb>
    <v>0</v>
  </rv>
  <rv s="0">
    <fb>65.265299999999996</fb>
    <v>0</v>
  </rv>
  <rv s="0">
    <fb>88.05</fb>
    <v>0</v>
  </rv>
  <rv s="0">
    <fb>64.47</fb>
    <v>0</v>
  </rv>
  <rv s="0">
    <fb>46.14</fb>
    <v>0</v>
  </rv>
  <rv s="0">
    <fb>460.99</fb>
    <v>0</v>
  </rv>
  <rv s="0">
    <fb>121.92</fb>
    <v>0</v>
  </rv>
  <rv s="0">
    <fb>165.3</fb>
    <v>0</v>
  </rv>
  <rv s="0">
    <fb>102.26</fb>
    <v>0</v>
  </rv>
  <rv s="0">
    <fb>144.9</fb>
    <v>0</v>
  </rv>
  <rv s="0">
    <fb>59.116500000000002</fb>
    <v>0</v>
  </rv>
  <rv s="0">
    <fb>74.91</fb>
    <v>0</v>
  </rv>
  <rv s="0">
    <fb>59.84</fb>
    <v>0</v>
  </rv>
  <rv s="0">
    <fb>42.26</fb>
    <v>0</v>
  </rv>
  <rv s="0">
    <fb>457.63</fb>
    <v>0</v>
  </rv>
  <rv s="0">
    <fb>133.47</fb>
    <v>0</v>
  </rv>
  <rv s="0">
    <fb>177.57</fb>
    <v>0</v>
  </rv>
  <rv s="0">
    <fb>108.24</fb>
    <v>0</v>
  </rv>
  <rv s="0">
    <fb>154.88999999999999</fb>
    <v>0</v>
  </rv>
  <rv s="0">
    <fb>58.792900000000003</fb>
    <v>0</v>
  </rv>
  <rv s="0">
    <fb>76.64</fb>
    <v>0</v>
  </rv>
  <rv s="0">
    <fb>61.19</fb>
    <v>0</v>
  </rv>
  <rv s="0">
    <fb>43.78</fb>
    <v>0</v>
  </rv>
  <rv s="0">
    <fb>476.99</fb>
    <v>0</v>
  </rv>
  <rv s="0">
    <fb>123.45</fb>
    <v>0</v>
  </rv>
  <rv s="0">
    <fb>174.78</fb>
    <v>0</v>
  </rv>
  <rv s="0">
    <fb>111.57</fb>
    <v>0</v>
  </rv>
  <rv s="0">
    <fb>142.97</fb>
    <v>0</v>
  </rv>
  <rv s="0">
    <fb>58.799100000000003</fb>
    <v>0</v>
  </rv>
  <rv s="0">
    <fb>81.48</fb>
    <v>0</v>
  </rv>
  <rv s="0">
    <fb>75.959999999999994</fb>
    <v>0</v>
  </rv>
  <rv s="0">
    <fb>42.88</fb>
    <v>0</v>
  </rv>
  <rv s="0">
    <fb>451.77</fb>
    <v>0</v>
  </rv>
  <rv s="0">
    <fb>106.82</fb>
    <v>0</v>
  </rv>
  <rv s="0">
    <fb>165.12</fb>
    <v>0</v>
  </rv>
  <rv s="0">
    <fb>111.66</fb>
    <v>0</v>
  </rv>
  <rv s="0">
    <fb>148.46</fb>
    <v>0</v>
  </rv>
  <rv s="0">
    <fb>59.440100000000001</fb>
    <v>0</v>
  </rv>
  <rv s="0">
    <fb>76.58</fb>
    <v>0</v>
  </rv>
  <rv s="0">
    <fb>78.42</fb>
    <v>0</v>
  </rv>
  <rv s="0">
    <fb>44.4</fb>
    <v>0</v>
  </rv>
  <rv s="0">
    <fb>438.72</fb>
    <v>0</v>
  </rv>
  <rv s="0">
    <fb>105.28</fb>
    <v>0</v>
  </rv>
  <rv s="0">
    <fb>174.61</fb>
    <v>0</v>
  </rv>
  <rv s="0">
    <fb>118.17</fb>
    <v>0</v>
  </rv>
  <rv s="0">
    <fb>137.16</fb>
    <v>0</v>
  </rv>
  <rv s="0">
    <fb>56.944499999999998</fb>
    <v>0</v>
  </rv>
  <rv s="0">
    <fb>82.05</fb>
    <v>0</v>
  </rv>
  <rv s="0">
    <fb>82.59</fb>
    <v>0</v>
  </rv>
  <rv s="0">
    <fb>46.36</fb>
    <v>0</v>
  </rv>
  <rv s="0">
    <fb>453.69</fb>
    <v>0</v>
  </rv>
  <rv s="0">
    <fb>91.05</fb>
    <v>0</v>
  </rv>
  <rv s="0">
    <fb>157.65</fb>
    <v>0</v>
  </rv>
  <rv s="0">
    <fb>108.51</fb>
    <v>0</v>
  </rv>
  <rv s="0">
    <fb>111.63</fb>
    <v>0</v>
  </rv>
  <rv s="0">
    <fb>46.395800000000001</fb>
    <v>0</v>
  </rv>
  <rv s="0">
    <fb>88.69</fb>
    <v>0</v>
  </rv>
  <rv s="0">
    <fb>85.25</fb>
    <v>0</v>
  </rv>
  <rv s="0">
    <fb>50.5</fb>
    <v>0</v>
  </rv>
  <rv s="0">
    <fb>413.56</fb>
    <v>0</v>
  </rv>
  <rv s="0">
    <fb>88.01</fb>
    <v>0</v>
  </rv>
  <rv s="0">
    <fb>148.84</fb>
    <v>0</v>
  </rv>
  <rv s="0">
    <fb>106.25</fb>
    <v>0</v>
  </rv>
  <rv s="0">
    <fb>110.44</fb>
    <v>0</v>
  </rv>
  <rv s="0">
    <fb>48.723399999999998</fb>
    <v>0</v>
  </rv>
  <rv s="0">
    <fb>92.03</fb>
    <v>0</v>
  </rv>
  <rv s="0">
    <fb>96</fb>
    <v>0</v>
  </rv>
  <rv s="0">
    <fb>47.63</fb>
    <v>0</v>
  </rv>
  <rv s="0">
    <fb>414.87</fb>
    <v>0</v>
  </rv>
  <rv s="0">
    <fb>83.52</fb>
    <v>0</v>
  </rv>
  <rv s="0">
    <fb>136.72</fb>
    <v>0</v>
  </rv>
  <rv s="0">
    <fb>95.68</fb>
    <v>0</v>
  </rv>
  <rv s="0">
    <fb>94.4</fb>
    <v>0</v>
  </rv>
  <rv s="0">
    <fb>39.624699999999997</fb>
    <v>0</v>
  </rv>
  <rv s="0">
    <fb>91.17</fb>
    <v>0</v>
  </rv>
  <rv s="0">
    <fb>85.64</fb>
    <v>0</v>
  </rv>
  <rv s="0">
    <fb>35.42</fb>
    <v>0</v>
  </rv>
  <rv s="0">
    <fb>379.15</fb>
    <v>0</v>
  </rv>
  <rv s="0">
    <fb>95.89</fb>
    <v>0</v>
  </rv>
  <rv s="0">
    <fb>162.51</fb>
    <v>0</v>
  </rv>
  <rv s="0">
    <fb>99.99</fb>
    <v>0</v>
  </rv>
  <rv s="0">
    <fb>106.1</fb>
    <v>0</v>
  </rv>
  <rv s="0">
    <fb>45.997500000000002</fb>
    <v>0</v>
  </rv>
  <rv s="0">
    <fb>89.34</fb>
    <v>0</v>
  </rv>
  <rv s="0">
    <fb>96.93</fb>
    <v>0</v>
  </rv>
  <rv s="0">
    <fb>36.75</fb>
    <v>0</v>
  </rv>
  <rv s="0">
    <fb>414.28</fb>
    <v>0</v>
  </rv>
  <rv s="0">
    <fb>80.83</fb>
    <v>0</v>
  </rv>
  <rv s="0">
    <fb>157.22</fb>
    <v>0</v>
  </rv>
  <rv s="0">
    <fb>95.75</fb>
    <v>0</v>
  </rv>
  <rv s="0">
    <fb>112.08</fb>
    <v>0</v>
  </rv>
  <rv s="0">
    <fb>45.704999999999998</fb>
    <v>0</v>
  </rv>
  <rv s="0">
    <fb>85.36</fb>
    <v>0</v>
  </rv>
  <rv s="0">
    <fb>95.59</fb>
    <v>0</v>
  </rv>
  <rv s="0">
    <fb>35.01</fb>
    <v>0</v>
  </rv>
  <rv s="0">
    <fb>397.18</fb>
    <v>0</v>
  </rv>
  <rv s="0">
    <fb>70.010000000000005</fb>
    <v>0</v>
  </rv>
  <rv s="0">
    <fb>138.19999999999999</fb>
    <v>0</v>
  </rv>
  <rv s="0">
    <fb>85.78</fb>
    <v>0</v>
  </rv>
  <rv s="0">
    <fb>94.33</fb>
    <v>0</v>
  </rv>
  <rv s="0">
    <fb>38.529400000000003</fb>
    <v>0</v>
  </rv>
  <rv s="0">
    <fb>86.12</fb>
    <v>0</v>
  </rv>
  <rv s="0">
    <fb>87.31</fb>
    <v>0</v>
  </rv>
  <rv s="0">
    <fb>32.53</fb>
    <v>0</v>
  </rv>
  <rv s="0">
    <fb>358.65</fb>
    <v>0</v>
  </rv>
  <rv s="0">
    <fb>72.63</fb>
    <v>0</v>
  </rv>
  <rv s="0">
    <fb>153.34</fb>
    <v>0</v>
  </rv>
  <rv s="0">
    <fb>105.19</fb>
    <v>0</v>
  </rv>
  <rv s="0">
    <fb>106.54</fb>
    <v>0</v>
  </rv>
  <rv s="0">
    <fb>48.424599999999998</fb>
    <v>0</v>
  </rv>
  <rv s="0">
    <fb>101.2</fb>
    <v>0</v>
  </rv>
  <rv s="0">
    <fb>110.81</fb>
    <v>0</v>
  </rv>
  <rv s="0">
    <fb>43.08</fb>
    <v>0</v>
  </rv>
  <rv s="0">
    <fb>387.79</fb>
    <v>0</v>
  </rv>
  <rv s="0">
    <fb>83.26</fb>
    <v>0</v>
  </rv>
  <rv s="0">
    <fb>148.03</fb>
    <v>0</v>
  </rv>
  <rv s="0">
    <fb>108.03</fb>
    <v>0</v>
  </rv>
  <rv s="0">
    <fb>97.87</fb>
    <v>0</v>
  </rv>
  <rv s="0">
    <fb>53.503</fb>
    <v>0</v>
  </rv>
  <rv s="0">
    <fb>110.12</fb>
    <v>0</v>
  </rv>
  <rv s="0">
    <fb>111.34</fb>
    <v>0</v>
  </rv>
  <rv s="0">
    <fb>44.17</fb>
    <v>0</v>
  </rv>
  <rv s="0">
    <fb>409.32</fb>
    <v>0</v>
  </rv>
  <rv s="0">
    <fb>82.31</fb>
    <v>0</v>
  </rv>
  <rv s="0">
    <fb>129.93</fb>
    <v>0</v>
  </rv>
  <rv s="0">
    <fb>99.46</fb>
    <v>0</v>
  </rv>
  <rv s="0">
    <fb>86.88</fb>
    <v>0</v>
  </rv>
  <rv s="0">
    <fb>52.146299999999997</fb>
    <v>0</v>
  </rv>
  <rv s="0">
    <fb>110.95</fb>
    <v>0</v>
  </rv>
  <rv s="0">
    <fb>110.3</fb>
    <v>0</v>
  </rv>
  <rv s="0">
    <fb>37.700000000000003</fb>
    <v>0</v>
  </rv>
  <rv s="0">
    <fb>384.21</fb>
    <v>0</v>
  </rv>
  <rv s="0">
    <fb>89.69</fb>
    <v>0</v>
  </rv>
  <rv s="0">
    <fb>144.29</fb>
    <v>0</v>
  </rv>
  <rv s="0">
    <fb>104.94</fb>
    <v>0</v>
  </rv>
  <rv s="0">
    <fb>108.49</fb>
    <v>0</v>
  </rv>
  <rv s="0">
    <fb>64.185199999999995</fb>
    <v>0</v>
  </rv>
  <rv s="0">
    <fb>107.41</fb>
    <v>0</v>
  </rv>
  <rv s="0">
    <fb>116.01</fb>
    <v>0</v>
  </rv>
  <rv s="0">
    <fb>48.96</fb>
    <v>0</v>
  </rv>
  <rv s="0">
    <fb>408.31</fb>
    <v>0</v>
  </rv>
  <rv s="0">
    <fb>83.95</fb>
    <v>0</v>
  </rv>
  <rv s="0">
    <fb>147.41</fb>
    <v>0</v>
  </rv>
  <rv s="0">
    <fb>100</fb>
    <v>0</v>
  </rv>
  <rv s="0">
    <fb>99.61</fb>
    <v>0</v>
  </rv>
  <rv s="0">
    <fb>67.558800000000005</fb>
    <v>0</v>
  </rv>
  <rv s="0">
    <fb>106.24</fb>
    <v>0</v>
  </rv>
  <rv s="0">
    <fb>109.91</fb>
    <v>0</v>
  </rv>
  <rv s="0">
    <fb>51.96</fb>
    <v>0</v>
  </rv>
  <rv s="0">
    <fb>397.97</fb>
    <v>0</v>
  </rv>
  <rv s="0">
    <fb>74.930000000000007</fb>
    <v>0</v>
  </rv>
  <rv s="0">
    <fb>164.9</fb>
    <v>0</v>
  </rv>
  <rv s="0">
    <fb>82.74</fb>
    <v>0</v>
  </rv>
  <rv s="0">
    <fb>100.13</fb>
    <v>0</v>
  </rv>
  <rv s="0">
    <fb>76.243899999999996</fb>
    <v>0</v>
  </rv>
  <rv s="0">
    <fb>106.39</fb>
    <v>0</v>
  </rv>
  <rv s="0">
    <fb>109.66</fb>
    <v>0</v>
  </rv>
  <rv s="0">
    <fb>44.25</fb>
    <v>0</v>
  </rv>
  <rv s="0">
    <fb>411.08</fb>
    <v>0</v>
  </rv>
  <rv s="0">
    <fb>74.790000000000006</fb>
    <v>0</v>
  </rv>
  <rv s="0">
    <fb>169.68</fb>
    <v>0</v>
  </rv>
  <rv s="0">
    <fb>87</fb>
    <v>0</v>
  </rv>
  <rv s="0">
    <fb>102.5</fb>
    <v>0</v>
  </rv>
  <rv s="0">
    <fb>78.9315</fb>
    <v>0</v>
  </rv>
  <rv s="0">
    <fb>115.47</fb>
    <v>0</v>
  </rv>
  <rv s="0">
    <fb>118.34</fb>
    <v>0</v>
  </rv>
  <rv s="0">
    <fb>43.8</fb>
    <v>0</v>
  </rv>
  <rv s="0">
    <fb>417.66</fb>
    <v>0</v>
  </rv>
  <rv s="0">
    <fb>70.11</fb>
    <v>0</v>
  </rv>
  <rv s="0">
    <fb>177.25</fb>
    <v>0</v>
  </rv>
  <rv s="0">
    <fb>78.69</fb>
    <v>0</v>
  </rv>
  <rv s="0">
    <fb>87.96</fb>
    <v>0</v>
  </rv>
  <rv s="0">
    <fb>80.973200000000006</fb>
    <v>0</v>
  </rv>
  <rv s="0">
    <fb>110.41</fb>
    <v>0</v>
  </rv>
  <rv s="0">
    <fb>102.18</fb>
    <v>0</v>
  </rv>
  <rv s="0">
    <fb>47.465000000000003</fb>
    <v>0</v>
  </rv>
  <rv s="0">
    <fb>419.43</fb>
    <v>0</v>
  </rv>
  <rv s="0">
    <fb>73.83</fb>
    <v>0</v>
  </rv>
  <rv s="0">
    <fb>193.97</fb>
    <v>0</v>
  </rv>
  <rv s="0">
    <fb>88.22</fb>
    <v>0</v>
  </rv>
  <rv s="0">
    <fb>89.28</fb>
    <v>0</v>
  </rv>
  <rv s="0">
    <fb>87.608699999999999</fb>
    <v>0</v>
  </rv>
  <rv s="0">
    <fb>115.39</fb>
    <v>0</v>
  </rv>
  <rv s="0">
    <fb>107.25</fb>
    <v>0</v>
  </rv>
  <rv s="0">
    <fb>54.87</fb>
    <v>0</v>
  </rv>
  <rv s="0">
    <fb>445.71</fb>
    <v>0</v>
  </rv>
  <rv s="0">
    <fb>82.7</fb>
    <v>0</v>
  </rv>
  <rv s="0">
    <fb>196.45</fb>
    <v>0</v>
  </rv>
  <rv s="0">
    <fb>96.49</fb>
    <v>0</v>
  </rv>
  <rv s="0">
    <fb>88.89</fb>
    <v>0</v>
  </rv>
  <rv s="0">
    <fb>91.109800000000007</fb>
    <v>0</v>
  </rv>
  <rv s="0">
    <fb>106.65</fb>
    <v>0</v>
  </rv>
  <rv s="0">
    <fb>107.24</fb>
    <v>0</v>
  </rv>
  <rv s="0">
    <fb>54.31</fb>
    <v>0</v>
  </rv>
  <rv s="0">
    <fb>460.18</fb>
    <v>0</v>
  </rv>
  <rv s="0">
    <fb>75.7</fb>
    <v>0</v>
  </rv>
  <rv s="0">
    <fb>187.87</fb>
    <v>0</v>
  </rv>
  <rv s="0">
    <fb>83.68</fb>
    <v>0</v>
  </rv>
  <rv s="0">
    <fb>91.285300000000007</fb>
    <v>0</v>
  </rv>
  <rv s="0">
    <fb>108.98</fb>
    <v>0</v>
  </rv>
  <rv s="0">
    <fb>111.19</fb>
    <v>0</v>
  </rv>
  <rv s="0">
    <fb>49.81</fb>
    <v>0</v>
  </rv>
  <rv s="0">
    <fb>452.69</fb>
    <v>0</v>
  </rv>
  <rv s="0">
    <fb>68.22</fb>
    <v>0</v>
  </rv>
  <rv s="0">
    <fb>171.21</fb>
    <v>0</v>
  </rv>
  <rv s="0">
    <fb>94.89</fb>
    <v>0</v>
  </rv>
  <rv s="0">
    <fb>81.05</fb>
    <v>0</v>
  </rv>
  <rv s="0">
    <fb>88.166899999999998</fb>
    <v>0</v>
  </rv>
  <rv s="0">
    <fb>102.95</fb>
    <v>0</v>
  </rv>
  <rv s="0">
    <fb>117.58</fb>
    <v>0</v>
  </rv>
  <rv s="0">
    <fb>42.3</fb>
    <v>0</v>
  </rv>
  <rv s="0">
    <fb>429.43</fb>
    <v>0</v>
  </rv>
  <rv s="0">
    <fb>65.02</fb>
    <v>0</v>
  </rv>
  <rv s="0">
    <fb>170.77</fb>
    <v>0</v>
  </rv>
  <rv s="0">
    <fb>91.44</fb>
    <v>0</v>
  </rv>
  <rv s="0">
    <fb>81.59</fb>
    <v>0</v>
  </rv>
  <rv s="0">
    <fb>86.6357</fb>
    <v>0</v>
  </rv>
  <rv s="0">
    <fb>102.7</fb>
    <v>0</v>
  </rv>
  <rv s="0">
    <fb>105.85</fb>
    <v>0</v>
  </rv>
  <rv s="0">
    <fb>419.94</fb>
    <v>0</v>
  </rv>
  <rv s="0">
    <fb>65.239999999999995</fb>
    <v>0</v>
  </rv>
  <rv s="0">
    <fb>189.95</fb>
    <v>0</v>
  </rv>
  <rv s="0">
    <fb>97.78</fb>
    <v>0</v>
  </rv>
  <rv s="0">
    <fb>92.69</fb>
    <v>0</v>
  </rv>
  <rv s="0">
    <fb>97.139200000000002</fb>
    <v>0</v>
  </rv>
  <rv s="0">
    <fb>102.48</fb>
    <v>0</v>
  </rv>
  <rv s="0">
    <fb>102.74</fb>
    <v>0</v>
  </rv>
  <rv s="0">
    <fb>39.4</fb>
    <v>0</v>
  </rv>
  <rv s="0">
    <fb>458.42</fb>
    <v>0</v>
  </rv>
  <rv s="0">
    <fb>76.23</fb>
    <v>0</v>
  </rv>
  <rv s="0">
    <fb>192.53</fb>
    <v>0</v>
  </rv>
  <rv s="0">
    <fb>103.71</fb>
    <v>0</v>
  </rv>
  <rv s="0">
    <fb>90.29</fb>
    <v>0</v>
  </rv>
  <rv s="0">
    <fb>101.78879999999999</fb>
    <v>0</v>
  </rv>
  <rv s="0">
    <fb>109.02</fb>
    <v>0</v>
  </rv>
  <rv s="0">
    <fb>99.98</fb>
    <v>0</v>
  </rv>
  <rv s="0">
    <fb>41.26</fb>
    <v>0</v>
  </rv>
  <rv s="0">
    <fb>477.63</fb>
    <v>0</v>
  </rv>
  <rv s="0">
    <fb>73.48</fb>
    <v>0</v>
  </rv>
  <rv s="0">
    <fb>184.4</fb>
    <v>0</v>
  </rv>
  <rv s="0">
    <fb>104.93</fb>
    <v>0</v>
  </rv>
  <rv s="0">
    <fb>96.05</fb>
    <v>0</v>
  </rv>
  <rv s="0">
    <fb>105.60890000000001</fb>
    <v>0</v>
  </rv>
  <rv s="0">
    <fb>120.78</fb>
    <v>0</v>
  </rv>
  <rv s="0">
    <fb>102.81</fb>
    <v>0</v>
  </rv>
  <rv s="0">
    <fb>41.38</fb>
    <v>0</v>
  </rv>
  <rv s="0">
    <fb>485.2</fb>
    <v>0</v>
  </rv>
  <rv s="0">
    <fb>71.89</fb>
    <v>0</v>
  </rv>
  <rv s="0">
    <fb>180.75</fb>
    <v>0</v>
  </rv>
  <rv s="0">
    <fb>108.99</fb>
    <v>0</v>
  </rv>
  <rv s="0">
    <fb>111.58</fb>
    <v>0</v>
  </rv>
  <rv s="0">
    <fb>125.1245</fb>
    <v>0</v>
  </rv>
  <rv s="0">
    <fb>127.15</fb>
    <v>0</v>
  </rv>
  <rv s="0">
    <fb>104.52</fb>
    <v>0</v>
  </rv>
  <rv s="0">
    <fb>45.49</fb>
    <v>0</v>
  </rv>
  <rv s="0">
    <fb>510.45</fb>
    <v>0</v>
  </rv>
  <rv s="0">
    <fb>66.599999999999994</fb>
    <v>0</v>
  </rv>
  <rv s="0">
    <fb>171.48</fb>
    <v>0</v>
  </rv>
  <rv s="0">
    <fb>117.4</fb>
    <v>0</v>
  </rv>
  <rv s="0">
    <fb>122.36</fb>
    <v>0</v>
  </rv>
  <rv s="0">
    <fb>139.99039999999999</fb>
    <v>0</v>
  </rv>
  <rv s="0">
    <fb>131.94999999999999</fb>
    <v>0</v>
  </rv>
  <rv s="0">
    <fb>116.24</fb>
    <v>0</v>
  </rv>
  <rv s="0">
    <fb>47.88</fb>
    <v>0</v>
  </rv>
  <rv s="0">
    <fb>525.73</fb>
    <v>0</v>
  </rv>
  <rv s="0">
    <fb>61.69</fb>
    <v>0</v>
  </rv>
  <rv s="0">
    <fb>170.33</fb>
    <v>0</v>
  </rv>
  <rv s="0">
    <fb>110.48</fb>
    <v>0</v>
  </rv>
  <rv s="0">
    <fb>111.1</fb>
    <v>0</v>
  </rv>
  <rv s="0">
    <fb>161.82</fb>
    <v>0</v>
  </rv>
  <rv s="0">
    <fb>129.22</fb>
    <v>0</v>
  </rv>
  <rv s="0">
    <fb>118.27</fb>
    <v>0</v>
  </rv>
  <rv s="0">
    <fb>51.46</fb>
    <v>0</v>
  </rv>
  <rv s="0">
    <fb>504.44</fb>
    <v>0</v>
  </rv>
  <rv s="0">
    <fb>46.46</fb>
    <v>0</v>
  </rv>
  <rv s="0">
    <fb>192.25</fb>
    <v>0</v>
  </rv>
  <rv s="0">
    <fb>120.35</fb>
    <v>0</v>
  </rv>
  <rv s="0">
    <fb>103.91</fb>
    <v>0</v>
  </rv>
  <rv s="0">
    <fb>165.14</fb>
    <v>0</v>
  </rv>
  <rv s="0">
    <fb>125.54</fb>
    <v>0</v>
  </rv>
  <rv s="0">
    <fb>117.26</fb>
    <v>0</v>
  </rv>
  <rv s="0">
    <fb>52.99</fb>
    <v>0</v>
  </rv>
  <rv s="0">
    <fb>529.96</fb>
    <v>0</v>
  </rv>
  <rv s="0">
    <fb>46.98</fb>
    <v>0</v>
  </rv>
  <rv s="0">
    <fb>210.62</fb>
    <v>0</v>
  </rv>
  <rv s="0">
    <fb>117.19</fb>
    <v>0</v>
  </rv>
  <rv s="0">
    <fb>99.29</fb>
    <v>0</v>
  </rv>
  <rv s="0">
    <fb>158.97</fb>
    <v>0</v>
  </rv>
  <rv s="0">
    <fb>123.8</fb>
    <v>0</v>
  </rv>
  <rv s="0">
    <fb>115.12</fb>
    <v>0</v>
  </rv>
  <rv s="0">
    <fb>48.66</fb>
    <v>0</v>
  </rv>
  <rv s="0">
    <fb>547.23</fb>
    <v>0</v>
  </rv>
  <rv s="0">
    <fb>44.23</fb>
    <v>0</v>
  </rv>
  <rv s="0">
    <fb>222.08</fb>
    <v>0</v>
  </rv>
  <rv s="0">
    <fb>125.32</fb>
    <v>0</v>
  </rv>
  <rv s="0">
    <fb>93.69</fb>
    <v>0</v>
  </rv>
  <rv s="0">
    <fb>170.2</fb>
    <v>0</v>
  </rv>
  <rv s="0">
    <fb>113.13</fb>
    <v>0</v>
  </rv>
  <rv s="0">
    <fb>118.59</fb>
    <v>0</v>
  </rv>
  <rv s="0">
    <fb>45.42</fb>
    <v>0</v>
  </rv>
  <rv s="0">
    <fb>553.32000000000005</fb>
    <v>0</v>
  </rv>
  <rv s="0">
    <fb>47.37</fb>
    <v>0</v>
  </rv>
  <rv s="0">
    <fb>229</fb>
    <v>0</v>
  </rv>
  <rv s="0">
    <fb>121.16</fb>
    <v>0</v>
  </rv>
  <rv s="0">
    <fb>90.38</fb>
    <v>0</v>
  </rv>
  <rv s="0">
    <fb>174.62</fb>
    <v>0</v>
  </rv>
  <rv s="0">
    <fb>118.45</fb>
    <v>0</v>
  </rv>
  <rv s="0">
    <fb>117.94</fb>
    <v>0</v>
  </rv>
  <rv s="0">
    <fb>44.04</fb>
    <v>0</v>
  </rv>
  <rv s="0">
    <fb>566.75</fb>
    <v>0</v>
  </rv>
  <rv s="0">
    <fb>53.87</fb>
    <v>0</v>
  </rv>
  <rv s="0">
    <fb>233</fb>
    <v>0</v>
  </rv>
  <rv s="0">
    <fb>121.1</fb>
    <v>0</v>
  </rv>
  <rv s="0">
    <fb>96.19</fb>
    <v>0</v>
  </rv>
  <rv s="0">
    <fb>188.58</fb>
    <v>0</v>
  </rv>
  <rv s="0">
    <fb>113.56</fb>
    <v>0</v>
  </rv>
  <rv s="0">
    <fb>117.22</fb>
    <v>0</v>
  </rv>
  <rv s="0">
    <fb>57.06</fb>
    <v>0</v>
  </rv>
  <rv s="0">
    <fb>576.82000000000005</fb>
    <v>0</v>
  </rv>
  <rv s="0">
    <fb>52.39</fb>
    <v>0</v>
  </rv>
  <rv s="0">
    <fb>225.91</fb>
    <v>0</v>
  </rv>
  <rv s="0">
    <fb>122.48</fb>
    <v>0</v>
  </rv>
  <rv s="0">
    <fb>96.2</fb>
    <v>0</v>
  </rv>
  <rv s="0">
    <fb>171.78</fb>
    <v>0</v>
  </rv>
  <rv s="0">
    <fb>102.32</fb>
    <v>0</v>
  </rv>
  <rv s="0">
    <fb>116.78</fb>
    <v>0</v>
  </rv>
  <rv s="0">
    <fb>78.260000000000005</fb>
    <v>0</v>
  </rv>
  <rv s="0">
    <fb>571.24</fb>
    <v>0</v>
  </rv>
  <rv s="0">
    <fb>49.83</fb>
    <v>0</v>
  </rv>
  <rv s="0">
    <fb>237.33</fb>
    <v>0</v>
  </rv>
  <rv s="0">
    <fb>129.41</fb>
    <v>0</v>
  </rv>
  <rv s="0">
    <fb>117.47</fb>
    <v>0</v>
  </rv>
  <rv s="0">
    <fb>182.16</fb>
    <v>0</v>
  </rv>
  <rv s="0">
    <fb>101.64</fb>
    <v>0</v>
  </rv>
  <rv s="0">
    <fb>117.96</fb>
    <v>0</v>
  </rv>
  <rv s="0">
    <fb>96.83</fb>
    <v>0</v>
  </rv>
  <rv s="0">
    <fb>605.07000000000005</fb>
    <v>0</v>
  </rv>
  <rv s="0">
    <fb>41.07</fb>
    <v>0</v>
  </rv>
  <rv s="0">
    <fb>250.42</fb>
    <v>0</v>
  </rv>
  <rv s="0">
    <fb>118.53</fb>
    <v>0</v>
  </rv>
  <rv s="0">
    <fb>111.35</fb>
    <v>0</v>
  </rv>
  <rv s="0">
    <fb>166.79</fb>
    <v>0</v>
  </rv>
  <rv s="0">
    <fb>99.48</fb>
    <v>0</v>
  </rv>
  <rv s="0">
    <fb>107.57</fb>
    <v>0</v>
  </rv>
  <rv s="0">
    <fb>97.1</fb>
    <v>0</v>
  </rv>
  <rv s="0">
    <fb>588.67999999999995</fb>
    <v>0</v>
  </rv>
  <rv s="1">
    <v>1</v>
    <v>PZZA</v>
    <v>Monthly</v>
    <v>43800</v>
    <v>45657</v>
    <v>0</v>
    <v>1</v>
    <v>638712000000000000,638768882362549021,0</v>
    <v>0</v>
    <v>a21j9c</v>
    <v>XNAS:PZZA</v>
    <v>1</v>
  </rv>
  <rv s="1">
    <v>1</v>
    <v>AAPL</v>
    <v>Monthly</v>
    <v>43800</v>
    <v>45657</v>
    <v>0</v>
    <v>1</v>
    <v>638712000000000000,638768882681158312,0</v>
    <v>0</v>
    <v>a1mou2</v>
    <v>XNAS:AAPL</v>
    <v>2</v>
  </rv>
  <rv s="1">
    <v>1</v>
    <v>MRK</v>
    <v>Monthly</v>
    <v>43800</v>
    <v>45657</v>
    <v>0</v>
    <v>1</v>
    <v>638712000000000000,638768882681317122,0</v>
    <v>0</v>
    <v>a1xxmw</v>
    <v>XNYS:MRK</v>
    <v>3</v>
  </rv>
  <rv s="1">
    <v>1</v>
    <v>UAL</v>
    <v>Monthly</v>
    <v>43800</v>
    <v>45657</v>
    <v>0</v>
    <v>1</v>
    <v>638712000000000000,638768882681659041,0</v>
    <v>0</v>
    <v>a24qnm</v>
    <v>XNAS:UAL</v>
    <v>4</v>
  </rv>
  <rv s="1">
    <v>1</v>
    <v>PRU</v>
    <v>Monthly</v>
    <v>43800</v>
    <v>45657</v>
    <v>0</v>
    <v>1</v>
    <v>638712000000000000,638768882681841194,0</v>
    <v>0</v>
    <v>a218k2</v>
    <v>XNYS:PRU</v>
    <v>5</v>
  </rv>
  <rv s="1">
    <v>1</v>
    <v>GE</v>
    <v>Monthly</v>
    <v>43800</v>
    <v>45657</v>
    <v>0</v>
    <v>1</v>
    <v>638712000000000000,638768882681481183,0</v>
    <v>0</v>
    <v>a1tr1h</v>
    <v>XNYS:GE</v>
    <v>6</v>
  </rv>
  <rv s="1">
    <v>1</v>
    <v>XOM</v>
    <v>Monthly</v>
    <v>43800</v>
    <v>45657</v>
    <v>0</v>
    <v>1</v>
    <v>638712000000000000,638768882681994910,0</v>
    <v>0</v>
    <v>a269ec</v>
    <v>XNYS:XOM</v>
    <v>7</v>
  </rv>
  <rv s="1">
    <v>1</v>
    <v>DIS</v>
    <v>Monthly</v>
    <v>43800</v>
    <v>45657</v>
    <v>0</v>
    <v>1</v>
    <v>638712000000000000,638768882682170567,0</v>
    <v>0</v>
    <v>a1r2z2</v>
    <v>XNYS:DIS</v>
    <v>8</v>
  </rv>
  <rv s="1">
    <v>1</v>
    <v>IVV</v>
    <v>Monthly</v>
    <v>43800</v>
    <v>45657</v>
    <v>0</v>
    <v>1</v>
    <v>638712000000000000,638768883417745632,0</v>
    <v>0</v>
    <v>a1vwrw</v>
    <v>ARCX:IVV</v>
    <v>9</v>
  </rv>
</rvData>
</file>

<file path=xl/richData/rdrichvaluestructure.xml><?xml version="1.0" encoding="utf-8"?>
<rvStructures xmlns="http://schemas.microsoft.com/office/spreadsheetml/2017/richdata" count="2">
  <s t="_formattednumber">
    <k n="_Format" t="spb"/>
  </s>
  <s t="_stockhistorycache">
    <k n="_Format" t="spb"/>
    <k n="Symbol" t="s"/>
    <k n="Interval" t="s"/>
    <k n="StartDate" t="i"/>
    <k n="EndDate" t="i"/>
    <k n="f1904" t="b"/>
    <k n="fdcompat" t="b"/>
    <k n="etag" t="s"/>
    <k n="Date" t="a"/>
    <k n="EntityId" t="s"/>
    <k n="Instrument" t="s"/>
    <k n="Close" t="a"/>
  </s>
</rvStructures>
</file>

<file path=xl/richData/rdsupportingpropertybag.xml><?xml version="1.0" encoding="utf-8"?>
<supportingPropertyBags xmlns="http://schemas.microsoft.com/office/spreadsheetml/2017/richdata2">
  <spbData count="2">
    <spb s="0">
      <v>1</v>
    </spb>
    <spb s="1">
      <v>2</v>
      <v>1</v>
    </spb>
  </spbData>
</supportingPropertyBags>
</file>

<file path=xl/richData/rdsupportingpropertybagstructure.xml><?xml version="1.0" encoding="utf-8"?>
<spbStructures xmlns="http://schemas.microsoft.com/office/spreadsheetml/2017/richdata2" count="2">
  <s>
    <k n="_Self" t="i"/>
  </s>
  <s>
    <k n="Date" t="i"/>
    <k n="Close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2">
    <x:dxf>
      <x:numFmt numFmtId="19" formatCode="m/d/yyyy"/>
    </x:dxf>
    <x:dxf>
      <x:numFmt numFmtId="0" formatCode="General"/>
    </x:dxf>
  </dxfs>
  <richProperties>
    <rPr n="NumberFormat" t="s"/>
  </richProperties>
  <richStyles>
    <rSty dxfid="1">
      <rpv i="0">_([$$-en-US]* #,##0.00_);_([$$-en-US]* (#,##0.00);_([$$-en-US]* "-"??_);_(@_)</rpv>
    </rSty>
    <rSty dxfid="0"/>
  </richStyles>
</richStyleShee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69"/>
  <sheetViews>
    <sheetView tabSelected="1" workbookViewId="0">
      <pane ySplit="2" topLeftCell="A3" activePane="bottomLeft" state="frozen"/>
      <selection pane="bottomLeft" activeCell="B3" sqref="B3"/>
    </sheetView>
  </sheetViews>
  <sheetFormatPr defaultRowHeight="15" x14ac:dyDescent="0.25"/>
  <cols>
    <col min="1" max="1" width="14.42578125" customWidth="1"/>
    <col min="2" max="8" width="9" bestFit="1" customWidth="1"/>
    <col min="9" max="9" width="8" bestFit="1" customWidth="1"/>
    <col min="10" max="10" width="9" bestFit="1" customWidth="1"/>
    <col min="11" max="11" width="8.42578125" bestFit="1" customWidth="1"/>
    <col min="12" max="19" width="7.85546875" bestFit="1" customWidth="1"/>
    <col min="20" max="20" width="6.42578125" bestFit="1" customWidth="1"/>
    <col min="21" max="21" width="6.140625" bestFit="1" customWidth="1"/>
    <col min="23" max="23" width="10.7109375" bestFit="1" customWidth="1"/>
  </cols>
  <sheetData>
    <row r="1" spans="1:23" s="4" customFormat="1" ht="15.75" x14ac:dyDescent="0.25">
      <c r="B1" s="29" t="s">
        <v>4</v>
      </c>
      <c r="C1" s="29"/>
      <c r="D1" s="29"/>
      <c r="E1" s="29"/>
      <c r="F1" s="29"/>
      <c r="G1" s="29"/>
      <c r="H1" s="29"/>
      <c r="I1" s="29"/>
      <c r="J1" s="29"/>
      <c r="K1" s="29" t="s">
        <v>5</v>
      </c>
      <c r="L1" s="29"/>
      <c r="M1" s="29"/>
      <c r="N1" s="29"/>
      <c r="O1" s="29"/>
      <c r="P1" s="29"/>
      <c r="Q1" s="29"/>
      <c r="R1" s="29"/>
      <c r="S1" s="29"/>
      <c r="T1" s="2" t="s">
        <v>12</v>
      </c>
      <c r="U1" s="6">
        <v>0.03</v>
      </c>
    </row>
    <row r="2" spans="1:23" s="2" customFormat="1" x14ac:dyDescent="0.25">
      <c r="A2" s="2" t="s">
        <v>6</v>
      </c>
      <c r="B2" s="2" t="s">
        <v>44</v>
      </c>
      <c r="C2" s="2" t="s">
        <v>0</v>
      </c>
      <c r="D2" s="2" t="s">
        <v>42</v>
      </c>
      <c r="E2" s="2" t="s">
        <v>1</v>
      </c>
      <c r="F2" s="2" t="s">
        <v>43</v>
      </c>
      <c r="G2" s="2" t="s">
        <v>2</v>
      </c>
      <c r="H2" s="2" t="s">
        <v>3</v>
      </c>
      <c r="I2" s="2" t="s">
        <v>45</v>
      </c>
      <c r="J2" s="2" t="s">
        <v>47</v>
      </c>
      <c r="K2" s="2" t="str">
        <f>B2</f>
        <v>PZZA</v>
      </c>
      <c r="L2" s="2" t="str">
        <f t="shared" ref="L2:S2" si="0">C2</f>
        <v>AAPL</v>
      </c>
      <c r="M2" s="2" t="str">
        <f t="shared" si="0"/>
        <v>PRU</v>
      </c>
      <c r="N2" s="2" t="str">
        <f t="shared" si="0"/>
        <v>DIS</v>
      </c>
      <c r="O2" s="2" t="str">
        <f t="shared" si="0"/>
        <v>GE</v>
      </c>
      <c r="P2" s="2" t="str">
        <f t="shared" si="0"/>
        <v>MRK</v>
      </c>
      <c r="Q2" s="2" t="str">
        <f t="shared" si="0"/>
        <v>XOM</v>
      </c>
      <c r="R2" s="2" t="str">
        <f t="shared" si="0"/>
        <v>UAL</v>
      </c>
      <c r="S2" s="2" t="str">
        <f t="shared" si="0"/>
        <v>IVV</v>
      </c>
      <c r="T2" s="2" t="s">
        <v>13</v>
      </c>
      <c r="U2" s="7">
        <v>5.7000000000000002E-2</v>
      </c>
    </row>
    <row r="3" spans="1:23" ht="15.75" thickBot="1" x14ac:dyDescent="0.3">
      <c r="A3" s="24">
        <v>43800</v>
      </c>
      <c r="B3" cm="1" vm="1">
        <f t="array" aca="1" ref="B3:B63" ca="1">_xlfn.STOCKHISTORY(B2,$W$4,$W$5,2,0,1)</f>
        <v>63.15</v>
      </c>
      <c r="C3" cm="1" vm="2">
        <f t="array" aca="1" ref="C3:C63" ca="1">_xlfn.STOCKHISTORY(C2,$W$4,$W$5,2,0,1)</f>
        <v>73.412499999999994</v>
      </c>
      <c r="D3" cm="1" vm="3">
        <f t="array" aca="1" ref="D3:D63" ca="1">_xlfn.STOCKHISTORY(D2,$W$4,$W$5,2,0,1)</f>
        <v>93.74</v>
      </c>
      <c r="E3" cm="1" vm="4">
        <f t="array" aca="1" ref="E3:E63" ca="1">_xlfn.STOCKHISTORY(E2,$W$4,$W$5,2,0,1)</f>
        <v>144.63</v>
      </c>
      <c r="F3" cm="1" vm="5">
        <f t="array" aca="1" ref="F3:F63" ca="1">_xlfn.STOCKHISTORY(F2,$W$4,$W$5,2,0,1)</f>
        <v>55.562899999999999</v>
      </c>
      <c r="G3" cm="1" vm="6">
        <f t="array" aca="1" ref="G3:G63" ca="1">_xlfn.STOCKHISTORY(G2,$W$4,$W$5,2,0,1)</f>
        <v>86.723600000000005</v>
      </c>
      <c r="H3" cm="1" vm="7">
        <f t="array" aca="1" ref="H3:H63" ca="1">_xlfn.STOCKHISTORY(H2,$W$4,$W$5,2,0,1)</f>
        <v>69.78</v>
      </c>
      <c r="I3" cm="1" vm="8">
        <f t="array" aca="1" ref="I3:I63" ca="1">_xlfn.STOCKHISTORY(I2,$W$4,$W$5,2,0,1)</f>
        <v>88.09</v>
      </c>
      <c r="J3" cm="1" vm="9">
        <f t="array" aca="1" ref="J3:J63" ca="1">_xlfn.STOCKHISTORY(J2,$W$4,$W$5,2,0,1)</f>
        <v>323.24</v>
      </c>
      <c r="K3" s="5"/>
      <c r="L3" s="5"/>
      <c r="M3" s="5"/>
      <c r="N3" s="5"/>
      <c r="O3" s="5"/>
      <c r="P3" s="5"/>
      <c r="Q3" s="5"/>
      <c r="R3" s="5"/>
      <c r="S3" s="5"/>
    </row>
    <row r="4" spans="1:23" ht="15.75" thickBot="1" x14ac:dyDescent="0.3">
      <c r="A4" s="24">
        <v>43831</v>
      </c>
      <c r="B4" vm="10">
        <f ca="1"/>
        <v>64.78</v>
      </c>
      <c r="C4" vm="11">
        <f ca="1"/>
        <v>77.377499999999998</v>
      </c>
      <c r="D4" vm="12">
        <f ca="1"/>
        <v>91.06</v>
      </c>
      <c r="E4" vm="13">
        <f ca="1"/>
        <v>138.31</v>
      </c>
      <c r="F4" vm="14">
        <f ca="1"/>
        <v>61.985500000000002</v>
      </c>
      <c r="G4" vm="15">
        <f ca="1"/>
        <v>81.4696</v>
      </c>
      <c r="H4" vm="16">
        <f ca="1"/>
        <v>62.12</v>
      </c>
      <c r="I4" vm="17">
        <f ca="1"/>
        <v>74.8</v>
      </c>
      <c r="J4" s="27" vm="9">
        <f ca="1"/>
        <v>323.24</v>
      </c>
      <c r="K4" s="5">
        <f t="shared" ref="K4:K62" ca="1" si="1">LN(B4/B3)</f>
        <v>2.5484064946683236E-2</v>
      </c>
      <c r="L4" s="5">
        <f t="shared" ref="L4:L62" ca="1" si="2">LN(C4/C3)</f>
        <v>5.2601819811865784E-2</v>
      </c>
      <c r="M4" s="5">
        <f t="shared" ref="M4:M62" ca="1" si="3">LN(D4/D3)</f>
        <v>-2.9006362587923988E-2</v>
      </c>
      <c r="N4" s="5">
        <f t="shared" ref="N4:N62" ca="1" si="4">LN(E4/E3)</f>
        <v>-4.4681214449023995E-2</v>
      </c>
      <c r="O4" s="5">
        <f t="shared" ref="O4:O62" ca="1" si="5">LN(F4/F3)</f>
        <v>0.10938477437694771</v>
      </c>
      <c r="P4" s="5">
        <f t="shared" ref="P4:P62" ca="1" si="6">LN(G4/G3)</f>
        <v>-6.2496105217072807E-2</v>
      </c>
      <c r="Q4" s="5">
        <f t="shared" ref="Q4:Q62" ca="1" si="7">LN(H4/H3)</f>
        <v>-0.11627943747814183</v>
      </c>
      <c r="R4" s="5">
        <f t="shared" ref="R4:R62" ca="1" si="8">LN(I4/I3)</f>
        <v>-0.16354113414127283</v>
      </c>
      <c r="S4" s="5">
        <f t="shared" ref="S4:S62" ca="1" si="9">LN(J4/J3)</f>
        <v>0</v>
      </c>
      <c r="W4" s="26">
        <v>43800</v>
      </c>
    </row>
    <row r="5" spans="1:23" ht="15.75" thickBot="1" x14ac:dyDescent="0.3">
      <c r="A5" s="24">
        <v>43862</v>
      </c>
      <c r="B5" vm="18">
        <f ca="1"/>
        <v>57.61</v>
      </c>
      <c r="C5" vm="19">
        <f ca="1"/>
        <v>68.34</v>
      </c>
      <c r="D5" vm="20">
        <f ca="1"/>
        <v>75.45</v>
      </c>
      <c r="E5" vm="21">
        <f ca="1"/>
        <v>117.65</v>
      </c>
      <c r="F5" vm="22">
        <f ca="1"/>
        <v>54.168900000000001</v>
      </c>
      <c r="G5" vm="23">
        <f ca="1"/>
        <v>73.002300000000005</v>
      </c>
      <c r="H5" vm="24">
        <f ca="1"/>
        <v>51.44</v>
      </c>
      <c r="I5" vm="25">
        <f ca="1"/>
        <v>61.59</v>
      </c>
      <c r="J5" s="27" vm="26">
        <f ca="1"/>
        <v>295.91000000000003</v>
      </c>
      <c r="K5" s="5">
        <f t="shared" ca="1" si="1"/>
        <v>-0.11730074999889148</v>
      </c>
      <c r="L5" s="5">
        <f t="shared" ca="1" si="2"/>
        <v>-0.12420079397335779</v>
      </c>
      <c r="M5" s="5">
        <f t="shared" ca="1" si="3"/>
        <v>-0.18804844469277818</v>
      </c>
      <c r="N5" s="5">
        <f t="shared" ca="1" si="4"/>
        <v>-0.16178342746324503</v>
      </c>
      <c r="O5" s="5">
        <f t="shared" ca="1" si="5"/>
        <v>-0.13479354370432176</v>
      </c>
      <c r="P5" s="5">
        <f t="shared" ca="1" si="6"/>
        <v>-0.10973899702637932</v>
      </c>
      <c r="Q5" s="5">
        <f t="shared" ca="1" si="7"/>
        <v>-0.18865191835112236</v>
      </c>
      <c r="R5" s="5">
        <f t="shared" ca="1" si="8"/>
        <v>-0.19431836528147955</v>
      </c>
      <c r="S5" s="5">
        <f t="shared" ca="1" si="9"/>
        <v>-8.8339727329046339E-2</v>
      </c>
      <c r="W5" s="26">
        <v>45657</v>
      </c>
    </row>
    <row r="6" spans="1:23" ht="15.75" thickBot="1" x14ac:dyDescent="0.3">
      <c r="A6" s="24">
        <v>43891</v>
      </c>
      <c r="B6" vm="27">
        <f ca="1"/>
        <v>53.37</v>
      </c>
      <c r="C6" vm="28">
        <f ca="1"/>
        <v>63.572499999999998</v>
      </c>
      <c r="D6" vm="29">
        <f ca="1"/>
        <v>52.14</v>
      </c>
      <c r="E6" vm="30">
        <f ca="1"/>
        <v>96.6</v>
      </c>
      <c r="F6" vm="31">
        <f ca="1"/>
        <v>39.531300000000002</v>
      </c>
      <c r="G6" vm="32">
        <f ca="1"/>
        <v>73.364599999999996</v>
      </c>
      <c r="H6" vm="33">
        <f ca="1"/>
        <v>37.97</v>
      </c>
      <c r="I6" vm="34">
        <f ca="1"/>
        <v>31.55</v>
      </c>
      <c r="J6" s="27" vm="35">
        <f ca="1"/>
        <v>258.39999999999998</v>
      </c>
      <c r="K6" s="5">
        <f t="shared" ca="1" si="1"/>
        <v>-7.6447373398438337E-2</v>
      </c>
      <c r="L6" s="5">
        <f t="shared" ca="1" si="2"/>
        <v>-7.2314259785660584E-2</v>
      </c>
      <c r="M6" s="5">
        <f t="shared" ca="1" si="3"/>
        <v>-0.36953777670850224</v>
      </c>
      <c r="N6" s="5">
        <f t="shared" ca="1" si="4"/>
        <v>-0.19713537395489922</v>
      </c>
      <c r="O6" s="5">
        <f t="shared" ca="1" si="5"/>
        <v>-0.31501417983771979</v>
      </c>
      <c r="P6" s="5">
        <f t="shared" ca="1" si="6"/>
        <v>4.9505829520917538E-3</v>
      </c>
      <c r="Q6" s="5">
        <f t="shared" ca="1" si="7"/>
        <v>-0.303619705685653</v>
      </c>
      <c r="R6" s="5">
        <f t="shared" ca="1" si="8"/>
        <v>-0.66892593071172968</v>
      </c>
      <c r="S6" s="5">
        <f t="shared" ca="1" si="9"/>
        <v>-0.13554658212775381</v>
      </c>
    </row>
    <row r="7" spans="1:23" ht="15.75" thickBot="1" x14ac:dyDescent="0.3">
      <c r="A7" s="24">
        <v>43922</v>
      </c>
      <c r="B7" vm="36">
        <f ca="1"/>
        <v>71.92</v>
      </c>
      <c r="C7" vm="37">
        <f ca="1"/>
        <v>73.45</v>
      </c>
      <c r="D7" vm="38">
        <f ca="1"/>
        <v>62.37</v>
      </c>
      <c r="E7" vm="39">
        <f ca="1"/>
        <v>108.15</v>
      </c>
      <c r="F7" vm="40">
        <f ca="1"/>
        <v>33.855499999999999</v>
      </c>
      <c r="G7" vm="41">
        <f ca="1"/>
        <v>75.653099999999995</v>
      </c>
      <c r="H7" vm="42">
        <f ca="1"/>
        <v>46.47</v>
      </c>
      <c r="I7" vm="43">
        <f ca="1"/>
        <v>29.58</v>
      </c>
      <c r="J7" s="27" vm="44">
        <f ca="1"/>
        <v>291.16000000000003</v>
      </c>
      <c r="K7" s="5">
        <f t="shared" ca="1" si="1"/>
        <v>0.29830559981751148</v>
      </c>
      <c r="L7" s="5">
        <f t="shared" ca="1" si="2"/>
        <v>0.14442391571840119</v>
      </c>
      <c r="M7" s="5">
        <f t="shared" ca="1" si="3"/>
        <v>0.17915198203267552</v>
      </c>
      <c r="N7" s="5">
        <f t="shared" ca="1" si="4"/>
        <v>0.11294041118059554</v>
      </c>
      <c r="O7" s="5">
        <f t="shared" ca="1" si="5"/>
        <v>-0.15499129548745072</v>
      </c>
      <c r="P7" s="5">
        <f t="shared" ca="1" si="6"/>
        <v>3.0716887130342565E-2</v>
      </c>
      <c r="Q7" s="5">
        <f t="shared" ca="1" si="7"/>
        <v>0.20201056885317598</v>
      </c>
      <c r="R7" s="5">
        <f t="shared" ca="1" si="8"/>
        <v>-6.4475131704568492E-2</v>
      </c>
      <c r="S7" s="5">
        <f t="shared" ca="1" si="9"/>
        <v>0.11936417234161045</v>
      </c>
    </row>
    <row r="8" spans="1:23" ht="15.75" thickBot="1" x14ac:dyDescent="0.3">
      <c r="A8" s="24">
        <v>43952</v>
      </c>
      <c r="B8" vm="45">
        <f ca="1"/>
        <v>77.89</v>
      </c>
      <c r="C8" vm="46">
        <f ca="1"/>
        <v>79.484999999999999</v>
      </c>
      <c r="D8" vm="47">
        <f ca="1"/>
        <v>60.96</v>
      </c>
      <c r="E8" vm="48">
        <f ca="1"/>
        <v>117.3</v>
      </c>
      <c r="F8" vm="49">
        <f ca="1"/>
        <v>32.7104</v>
      </c>
      <c r="G8" vm="50">
        <f ca="1"/>
        <v>76.968900000000005</v>
      </c>
      <c r="H8" vm="51">
        <f ca="1"/>
        <v>45.47</v>
      </c>
      <c r="I8" vm="52">
        <f ca="1"/>
        <v>28.04</v>
      </c>
      <c r="J8" s="27" vm="53">
        <f ca="1"/>
        <v>305.18</v>
      </c>
      <c r="K8" s="5">
        <f t="shared" ca="1" si="1"/>
        <v>7.9743184768492237E-2</v>
      </c>
      <c r="L8" s="5">
        <f t="shared" ca="1" si="2"/>
        <v>7.8963421992948812E-2</v>
      </c>
      <c r="M8" s="5">
        <f t="shared" ca="1" si="3"/>
        <v>-2.2866479159640324E-2</v>
      </c>
      <c r="N8" s="5">
        <f t="shared" ca="1" si="4"/>
        <v>8.1215603260361965E-2</v>
      </c>
      <c r="O8" s="5">
        <f t="shared" ca="1" si="5"/>
        <v>-3.4408397544009227E-2</v>
      </c>
      <c r="P8" s="5">
        <f t="shared" ca="1" si="6"/>
        <v>1.7243026577976796E-2</v>
      </c>
      <c r="Q8" s="5">
        <f t="shared" ca="1" si="7"/>
        <v>-2.1754175259967777E-2</v>
      </c>
      <c r="R8" s="5">
        <f t="shared" ca="1" si="8"/>
        <v>-5.3466395116264324E-2</v>
      </c>
      <c r="S8" s="5">
        <f t="shared" ca="1" si="9"/>
        <v>4.7028822213532363E-2</v>
      </c>
    </row>
    <row r="9" spans="1:23" ht="15.75" thickBot="1" x14ac:dyDescent="0.3">
      <c r="A9" s="24">
        <v>43983</v>
      </c>
      <c r="B9" vm="54">
        <f ca="1"/>
        <v>79.41</v>
      </c>
      <c r="C9" vm="55">
        <f ca="1"/>
        <v>91.2</v>
      </c>
      <c r="D9" vm="56">
        <f ca="1"/>
        <v>60.9</v>
      </c>
      <c r="E9" vm="57">
        <f ca="1"/>
        <v>111.51</v>
      </c>
      <c r="F9" vm="58">
        <f ca="1"/>
        <v>34.004899999999999</v>
      </c>
      <c r="G9" vm="59">
        <f ca="1"/>
        <v>73.736500000000007</v>
      </c>
      <c r="H9" vm="60">
        <f ca="1"/>
        <v>44.72</v>
      </c>
      <c r="I9" vm="61">
        <f ca="1"/>
        <v>34.61</v>
      </c>
      <c r="J9" s="27" vm="62">
        <f ca="1"/>
        <v>309.69</v>
      </c>
      <c r="K9" s="5">
        <f t="shared" ca="1" si="1"/>
        <v>1.9326729975262438E-2</v>
      </c>
      <c r="L9" s="5">
        <f t="shared" ca="1" si="2"/>
        <v>0.13748657246745072</v>
      </c>
      <c r="M9" s="5">
        <f t="shared" ca="1" si="3"/>
        <v>-9.8473666253949261E-4</v>
      </c>
      <c r="N9" s="5">
        <f t="shared" ca="1" si="4"/>
        <v>-5.0620482682159261E-2</v>
      </c>
      <c r="O9" s="5">
        <f t="shared" ca="1" si="5"/>
        <v>3.8811561727500991E-2</v>
      </c>
      <c r="P9" s="5">
        <f t="shared" ca="1" si="6"/>
        <v>-4.2903516545166463E-2</v>
      </c>
      <c r="Q9" s="5">
        <f t="shared" ca="1" si="7"/>
        <v>-1.6631938990075496E-2</v>
      </c>
      <c r="R9" s="5">
        <f t="shared" ca="1" si="8"/>
        <v>0.21051059548086357</v>
      </c>
      <c r="S9" s="5">
        <f t="shared" ca="1" si="9"/>
        <v>1.4670030682018788E-2</v>
      </c>
    </row>
    <row r="10" spans="1:23" ht="15.75" thickBot="1" x14ac:dyDescent="0.3">
      <c r="A10" s="24">
        <v>44013</v>
      </c>
      <c r="B10" vm="63">
        <f ca="1"/>
        <v>94.67</v>
      </c>
      <c r="C10" vm="64">
        <f ca="1"/>
        <v>106.26</v>
      </c>
      <c r="D10" vm="65">
        <f ca="1"/>
        <v>63.37</v>
      </c>
      <c r="E10" vm="66">
        <f ca="1"/>
        <v>116.94</v>
      </c>
      <c r="F10" vm="67">
        <f ca="1"/>
        <v>30.2211</v>
      </c>
      <c r="G10" vm="68">
        <f ca="1"/>
        <v>76.511200000000002</v>
      </c>
      <c r="H10" vm="69">
        <f ca="1"/>
        <v>42.08</v>
      </c>
      <c r="I10" vm="70">
        <f ca="1"/>
        <v>31.38</v>
      </c>
      <c r="J10" s="27" vm="71">
        <f ca="1"/>
        <v>327.82</v>
      </c>
      <c r="K10" s="5">
        <f t="shared" ca="1" si="1"/>
        <v>0.17577285523368036</v>
      </c>
      <c r="L10" s="5">
        <f t="shared" ca="1" si="2"/>
        <v>0.15283402394251144</v>
      </c>
      <c r="M10" s="5">
        <f t="shared" ca="1" si="3"/>
        <v>3.9757388619574181E-2</v>
      </c>
      <c r="N10" s="5">
        <f t="shared" ca="1" si="4"/>
        <v>4.7546709770253832E-2</v>
      </c>
      <c r="O10" s="5">
        <f t="shared" ca="1" si="5"/>
        <v>-0.11796427596185594</v>
      </c>
      <c r="P10" s="5">
        <f t="shared" ca="1" si="6"/>
        <v>3.6939207728428326E-2</v>
      </c>
      <c r="Q10" s="5">
        <f t="shared" ca="1" si="7"/>
        <v>-6.0848260417389353E-2</v>
      </c>
      <c r="R10" s="5">
        <f t="shared" ca="1" si="8"/>
        <v>-9.7971910342366339E-2</v>
      </c>
      <c r="S10" s="5">
        <f t="shared" ca="1" si="9"/>
        <v>5.6892880115605553E-2</v>
      </c>
    </row>
    <row r="11" spans="1:23" ht="15.75" thickBot="1" x14ac:dyDescent="0.3">
      <c r="A11" s="24">
        <v>44044</v>
      </c>
      <c r="B11" vm="72">
        <f ca="1"/>
        <v>98.29</v>
      </c>
      <c r="C11" vm="73">
        <f ca="1"/>
        <v>129.04</v>
      </c>
      <c r="D11" vm="74">
        <f ca="1"/>
        <v>67.77</v>
      </c>
      <c r="E11" vm="75">
        <f ca="1"/>
        <v>131.87</v>
      </c>
      <c r="F11" vm="76">
        <f ca="1"/>
        <v>31.565300000000001</v>
      </c>
      <c r="G11" vm="77">
        <f ca="1"/>
        <v>81.307500000000005</v>
      </c>
      <c r="H11" vm="78">
        <f ca="1"/>
        <v>39.94</v>
      </c>
      <c r="I11" vm="79">
        <f ca="1"/>
        <v>36</v>
      </c>
      <c r="J11" s="27" vm="80">
        <f ca="1"/>
        <v>350.77</v>
      </c>
      <c r="K11" s="5">
        <f t="shared" ca="1" si="1"/>
        <v>3.7525132437738078E-2</v>
      </c>
      <c r="L11" s="5">
        <f t="shared" ca="1" si="2"/>
        <v>0.19423351279415621</v>
      </c>
      <c r="M11" s="5">
        <f t="shared" ca="1" si="3"/>
        <v>6.7129055812595942E-2</v>
      </c>
      <c r="N11" s="5">
        <f t="shared" ca="1" si="4"/>
        <v>0.12015560607208339</v>
      </c>
      <c r="O11" s="5">
        <f t="shared" ca="1" si="5"/>
        <v>4.3518060054697869E-2</v>
      </c>
      <c r="P11" s="5">
        <f t="shared" ca="1" si="6"/>
        <v>6.080112787637082E-2</v>
      </c>
      <c r="Q11" s="5">
        <f t="shared" ca="1" si="7"/>
        <v>-5.2194240441785236E-2</v>
      </c>
      <c r="R11" s="5">
        <f t="shared" ca="1" si="8"/>
        <v>0.13734819115122349</v>
      </c>
      <c r="S11" s="5">
        <f t="shared" ca="1" si="9"/>
        <v>6.7666060765732561E-2</v>
      </c>
    </row>
    <row r="12" spans="1:23" ht="15.75" thickBot="1" x14ac:dyDescent="0.3">
      <c r="A12" s="24">
        <v>44075</v>
      </c>
      <c r="B12" vm="81">
        <f ca="1"/>
        <v>82.28</v>
      </c>
      <c r="C12" vm="82">
        <f ca="1"/>
        <v>115.81</v>
      </c>
      <c r="D12" vm="83">
        <f ca="1"/>
        <v>63.52</v>
      </c>
      <c r="E12" vm="84">
        <f ca="1"/>
        <v>124.08</v>
      </c>
      <c r="F12" vm="85">
        <f ca="1"/>
        <v>31.017700000000001</v>
      </c>
      <c r="G12" vm="86">
        <f ca="1"/>
        <v>79.095299999999995</v>
      </c>
      <c r="H12" vm="87">
        <f ca="1"/>
        <v>34.33</v>
      </c>
      <c r="I12" vm="88">
        <f ca="1"/>
        <v>34.75</v>
      </c>
      <c r="J12" s="27" vm="89">
        <f ca="1"/>
        <v>336.06</v>
      </c>
      <c r="K12" s="5">
        <f t="shared" ca="1" si="1"/>
        <v>-0.17779422779378165</v>
      </c>
      <c r="L12" s="5">
        <f t="shared" ca="1" si="2"/>
        <v>-0.10817151662066707</v>
      </c>
      <c r="M12" s="5">
        <f t="shared" ca="1" si="3"/>
        <v>-6.4764802209141187E-2</v>
      </c>
      <c r="N12" s="5">
        <f t="shared" ca="1" si="4"/>
        <v>-6.0890069951324399E-2</v>
      </c>
      <c r="O12" s="5">
        <f t="shared" ca="1" si="5"/>
        <v>-1.7500406685091716E-2</v>
      </c>
      <c r="P12" s="5">
        <f t="shared" ca="1" si="6"/>
        <v>-2.7584808670806441E-2</v>
      </c>
      <c r="Q12" s="5">
        <f t="shared" ca="1" si="7"/>
        <v>-0.15135872051806842</v>
      </c>
      <c r="R12" s="5">
        <f t="shared" ca="1" si="8"/>
        <v>-3.5339366445308849E-2</v>
      </c>
      <c r="S12" s="5">
        <f t="shared" ca="1" si="9"/>
        <v>-4.2841022577150542E-2</v>
      </c>
    </row>
    <row r="13" spans="1:23" ht="15.75" thickBot="1" x14ac:dyDescent="0.3">
      <c r="A13" s="24">
        <v>44105</v>
      </c>
      <c r="B13" vm="90">
        <f ca="1"/>
        <v>76.599999999999994</v>
      </c>
      <c r="C13" vm="91">
        <f ca="1"/>
        <v>108.86</v>
      </c>
      <c r="D13" vm="92">
        <f ca="1"/>
        <v>64.02</v>
      </c>
      <c r="E13" vm="93">
        <f ca="1"/>
        <v>121.25</v>
      </c>
      <c r="F13" vm="94">
        <f ca="1"/>
        <v>36.942399999999999</v>
      </c>
      <c r="G13" vm="95">
        <f ca="1"/>
        <v>71.715000000000003</v>
      </c>
      <c r="H13" vm="96">
        <f ca="1"/>
        <v>32.619999999999997</v>
      </c>
      <c r="I13" vm="97">
        <f ca="1"/>
        <v>33.86</v>
      </c>
      <c r="J13" s="27" vm="98">
        <f ca="1"/>
        <v>327.62</v>
      </c>
      <c r="K13" s="5">
        <f t="shared" ca="1" si="1"/>
        <v>-7.1530988038210869E-2</v>
      </c>
      <c r="L13" s="5">
        <f t="shared" ca="1" si="2"/>
        <v>-6.1888264190232391E-2</v>
      </c>
      <c r="M13" s="5">
        <f t="shared" ca="1" si="3"/>
        <v>7.8407176028367134E-3</v>
      </c>
      <c r="N13" s="5">
        <f t="shared" ca="1" si="4"/>
        <v>-2.3071989050690762E-2</v>
      </c>
      <c r="O13" s="5">
        <f t="shared" ca="1" si="5"/>
        <v>0.17480193359558202</v>
      </c>
      <c r="P13" s="5">
        <f t="shared" ca="1" si="6"/>
        <v>-9.7953523804436657E-2</v>
      </c>
      <c r="Q13" s="5">
        <f t="shared" ca="1" si="7"/>
        <v>-5.1094010276732924E-2</v>
      </c>
      <c r="R13" s="5">
        <f t="shared" ca="1" si="8"/>
        <v>-2.5945195305811897E-2</v>
      </c>
      <c r="S13" s="5">
        <f t="shared" ca="1" si="9"/>
        <v>-2.5435315273310617E-2</v>
      </c>
    </row>
    <row r="14" spans="1:23" ht="15.75" thickBot="1" x14ac:dyDescent="0.3">
      <c r="A14" s="24">
        <v>44136</v>
      </c>
      <c r="B14" vm="99">
        <f ca="1"/>
        <v>80.36</v>
      </c>
      <c r="C14" vm="100">
        <f ca="1"/>
        <v>119.05</v>
      </c>
      <c r="D14" vm="101">
        <f ca="1"/>
        <v>75.62</v>
      </c>
      <c r="E14" vm="102">
        <f ca="1"/>
        <v>148.01</v>
      </c>
      <c r="F14" vm="103">
        <f ca="1"/>
        <v>50.683700000000002</v>
      </c>
      <c r="G14" vm="104">
        <f ca="1"/>
        <v>76.654300000000006</v>
      </c>
      <c r="H14" vm="105">
        <f ca="1"/>
        <v>38.130000000000003</v>
      </c>
      <c r="I14" vm="106">
        <f ca="1"/>
        <v>45.05</v>
      </c>
      <c r="J14" s="27" vm="107">
        <f ca="1"/>
        <v>363.32</v>
      </c>
      <c r="K14" s="5">
        <f t="shared" ca="1" si="1"/>
        <v>4.7919463200188153E-2</v>
      </c>
      <c r="L14" s="5">
        <f t="shared" ca="1" si="2"/>
        <v>8.9480919926817698E-2</v>
      </c>
      <c r="M14" s="5">
        <f t="shared" ca="1" si="3"/>
        <v>0.16652526392106992</v>
      </c>
      <c r="N14" s="5">
        <f t="shared" ca="1" si="4"/>
        <v>0.19942530923150473</v>
      </c>
      <c r="O14" s="5">
        <f t="shared" ca="1" si="5"/>
        <v>0.31624441700884137</v>
      </c>
      <c r="P14" s="5">
        <f t="shared" ca="1" si="6"/>
        <v>6.6605772150137826E-2</v>
      </c>
      <c r="Q14" s="5">
        <f t="shared" ca="1" si="7"/>
        <v>0.15607577667660474</v>
      </c>
      <c r="R14" s="5">
        <f t="shared" ca="1" si="8"/>
        <v>0.28553860734935765</v>
      </c>
      <c r="S14" s="5">
        <f t="shared" ca="1" si="9"/>
        <v>0.10342958845752757</v>
      </c>
    </row>
    <row r="15" spans="1:23" ht="15.75" thickBot="1" x14ac:dyDescent="0.3">
      <c r="A15" s="24">
        <v>44166</v>
      </c>
      <c r="B15" vm="108">
        <f ca="1"/>
        <v>84.85</v>
      </c>
      <c r="C15" vm="109">
        <f ca="1"/>
        <v>132.69</v>
      </c>
      <c r="D15" vm="110">
        <f ca="1"/>
        <v>78.069999999999993</v>
      </c>
      <c r="E15" vm="111">
        <f ca="1"/>
        <v>181.18</v>
      </c>
      <c r="F15" vm="112">
        <f ca="1"/>
        <v>53.770600000000002</v>
      </c>
      <c r="G15" vm="113">
        <f ca="1"/>
        <v>77.998800000000003</v>
      </c>
      <c r="H15" vm="114">
        <f ca="1"/>
        <v>41.22</v>
      </c>
      <c r="I15" vm="115">
        <f ca="1"/>
        <v>43.25</v>
      </c>
      <c r="J15" s="27" vm="116">
        <f ca="1"/>
        <v>375.39</v>
      </c>
      <c r="K15" s="5">
        <f t="shared" ca="1" si="1"/>
        <v>5.4368451733501542E-2</v>
      </c>
      <c r="L15" s="5">
        <f t="shared" ca="1" si="2"/>
        <v>0.1084720076154734</v>
      </c>
      <c r="M15" s="5">
        <f t="shared" ca="1" si="3"/>
        <v>3.1885061669412629E-2</v>
      </c>
      <c r="N15" s="5">
        <f t="shared" ca="1" si="4"/>
        <v>0.20221117319204446</v>
      </c>
      <c r="O15" s="5">
        <f t="shared" ca="1" si="5"/>
        <v>5.9122489506532358E-2</v>
      </c>
      <c r="P15" s="5">
        <f t="shared" ca="1" si="6"/>
        <v>1.738773905954847E-2</v>
      </c>
      <c r="Q15" s="5">
        <f t="shared" ca="1" si="7"/>
        <v>7.7922201592840412E-2</v>
      </c>
      <c r="R15" s="5">
        <f t="shared" ca="1" si="8"/>
        <v>-4.0775750676458493E-2</v>
      </c>
      <c r="S15" s="5">
        <f t="shared" ca="1" si="9"/>
        <v>3.2681496911060537E-2</v>
      </c>
    </row>
    <row r="16" spans="1:23" ht="15.75" thickBot="1" x14ac:dyDescent="0.3">
      <c r="A16" s="24">
        <v>44197</v>
      </c>
      <c r="B16" vm="117">
        <f ca="1"/>
        <v>102.28</v>
      </c>
      <c r="C16" vm="118">
        <f ca="1"/>
        <v>131.96</v>
      </c>
      <c r="D16" vm="119">
        <f ca="1"/>
        <v>78.28</v>
      </c>
      <c r="E16" vm="120">
        <f ca="1"/>
        <v>168.17</v>
      </c>
      <c r="F16" vm="121">
        <f ca="1"/>
        <v>53.173099999999998</v>
      </c>
      <c r="G16" vm="122">
        <f ca="1"/>
        <v>73.488600000000005</v>
      </c>
      <c r="H16" vm="123">
        <f ca="1"/>
        <v>44.84</v>
      </c>
      <c r="I16" vm="124">
        <f ca="1"/>
        <v>39.99</v>
      </c>
      <c r="J16" s="27" vm="125">
        <f ca="1"/>
        <v>371.52</v>
      </c>
      <c r="K16" s="5">
        <f t="shared" ca="1" si="1"/>
        <v>0.18682915874275061</v>
      </c>
      <c r="L16" s="5">
        <f t="shared" ca="1" si="2"/>
        <v>-5.5167341879643174E-3</v>
      </c>
      <c r="M16" s="5">
        <f t="shared" ca="1" si="3"/>
        <v>2.6862823956760478E-3</v>
      </c>
      <c r="N16" s="5">
        <f t="shared" ca="1" si="4"/>
        <v>-7.4515639706483242E-2</v>
      </c>
      <c r="O16" s="5">
        <f t="shared" ca="1" si="5"/>
        <v>-1.1174220026678684E-2</v>
      </c>
      <c r="P16" s="5">
        <f t="shared" ca="1" si="6"/>
        <v>-5.9563149807453412E-2</v>
      </c>
      <c r="Q16" s="5">
        <f t="shared" ca="1" si="7"/>
        <v>8.4177022741646249E-2</v>
      </c>
      <c r="R16" s="5">
        <f t="shared" ca="1" si="8"/>
        <v>-7.8367810519161293E-2</v>
      </c>
      <c r="S16" s="5">
        <f t="shared" ca="1" si="9"/>
        <v>-1.0362787035546547E-2</v>
      </c>
    </row>
    <row r="17" spans="1:19" ht="15.75" thickBot="1" x14ac:dyDescent="0.3">
      <c r="A17" s="24">
        <v>44228</v>
      </c>
      <c r="B17" vm="126">
        <f ca="1"/>
        <v>90.19</v>
      </c>
      <c r="C17" vm="127">
        <f ca="1"/>
        <v>121.26</v>
      </c>
      <c r="D17" vm="128">
        <f ca="1"/>
        <v>86.72</v>
      </c>
      <c r="E17" vm="129">
        <f ca="1"/>
        <v>189.04</v>
      </c>
      <c r="F17" vm="130">
        <f ca="1"/>
        <v>62.433599999999998</v>
      </c>
      <c r="G17" vm="131">
        <f ca="1"/>
        <v>69.2453</v>
      </c>
      <c r="H17" vm="132">
        <f ca="1"/>
        <v>54.37</v>
      </c>
      <c r="I17" vm="133">
        <f ca="1"/>
        <v>52.68</v>
      </c>
      <c r="J17" s="27" vm="134">
        <f ca="1"/>
        <v>381.77</v>
      </c>
      <c r="K17" s="5">
        <f t="shared" ca="1" si="1"/>
        <v>-0.12579559424536904</v>
      </c>
      <c r="L17" s="5">
        <f t="shared" ca="1" si="2"/>
        <v>-8.456184571679605E-2</v>
      </c>
      <c r="M17" s="5">
        <f t="shared" ca="1" si="3"/>
        <v>0.1023923951634606</v>
      </c>
      <c r="N17" s="5">
        <f t="shared" ca="1" si="4"/>
        <v>0.11698326034399389</v>
      </c>
      <c r="O17" s="5">
        <f t="shared" ca="1" si="5"/>
        <v>0.16055096262415197</v>
      </c>
      <c r="P17" s="5">
        <f t="shared" ca="1" si="6"/>
        <v>-5.9475019420337664E-2</v>
      </c>
      <c r="Q17" s="5">
        <f t="shared" ca="1" si="7"/>
        <v>0.19271193295387007</v>
      </c>
      <c r="R17" s="5">
        <f t="shared" ca="1" si="8"/>
        <v>0.27560645401635331</v>
      </c>
      <c r="S17" s="5">
        <f t="shared" ca="1" si="9"/>
        <v>2.7215634524684042E-2</v>
      </c>
    </row>
    <row r="18" spans="1:19" ht="15.75" thickBot="1" x14ac:dyDescent="0.3">
      <c r="A18" s="24">
        <v>44256</v>
      </c>
      <c r="B18" vm="135">
        <f ca="1"/>
        <v>88.64</v>
      </c>
      <c r="C18" vm="136">
        <f ca="1"/>
        <v>122.15</v>
      </c>
      <c r="D18" vm="137">
        <f ca="1"/>
        <v>91.1</v>
      </c>
      <c r="E18" vm="138">
        <f ca="1"/>
        <v>184.52</v>
      </c>
      <c r="F18" vm="139">
        <f ca="1"/>
        <v>65.371099999999998</v>
      </c>
      <c r="G18" vm="140">
        <f ca="1"/>
        <v>73.507599999999996</v>
      </c>
      <c r="H18" vm="141">
        <f ca="1"/>
        <v>55.83</v>
      </c>
      <c r="I18" vm="142">
        <f ca="1"/>
        <v>57.54</v>
      </c>
      <c r="J18" s="27" vm="143">
        <f ca="1"/>
        <v>397.82</v>
      </c>
      <c r="K18" s="5">
        <f t="shared" ca="1" si="1"/>
        <v>-1.7335333178643091E-2</v>
      </c>
      <c r="L18" s="5">
        <f t="shared" ca="1" si="2"/>
        <v>7.3127970601647744E-3</v>
      </c>
      <c r="M18" s="5">
        <f t="shared" ca="1" si="3"/>
        <v>4.9273266574576556E-2</v>
      </c>
      <c r="N18" s="5">
        <f t="shared" ca="1" si="4"/>
        <v>-2.4200774189032537E-2</v>
      </c>
      <c r="O18" s="5">
        <f t="shared" ca="1" si="5"/>
        <v>4.5976672778418153E-2</v>
      </c>
      <c r="P18" s="5">
        <f t="shared" ca="1" si="6"/>
        <v>5.9733529505711196E-2</v>
      </c>
      <c r="Q18" s="5">
        <f t="shared" ca="1" si="7"/>
        <v>2.6498828164439877E-2</v>
      </c>
      <c r="R18" s="5">
        <f t="shared" ca="1" si="8"/>
        <v>8.8244481248321627E-2</v>
      </c>
      <c r="S18" s="5">
        <f t="shared" ca="1" si="9"/>
        <v>4.1181308642704105E-2</v>
      </c>
    </row>
    <row r="19" spans="1:19" ht="15.75" thickBot="1" x14ac:dyDescent="0.3">
      <c r="A19" s="24">
        <v>44287</v>
      </c>
      <c r="B19" vm="144">
        <f ca="1"/>
        <v>96.72</v>
      </c>
      <c r="C19" vm="145">
        <f ca="1"/>
        <v>131.46</v>
      </c>
      <c r="D19" vm="146">
        <f ca="1"/>
        <v>100.36</v>
      </c>
      <c r="E19" vm="147">
        <f ca="1"/>
        <v>186.02</v>
      </c>
      <c r="F19" vm="148">
        <f ca="1"/>
        <v>65.321299999999994</v>
      </c>
      <c r="G19" vm="149">
        <f ca="1"/>
        <v>71.037999999999997</v>
      </c>
      <c r="H19" vm="150">
        <f ca="1"/>
        <v>57.24</v>
      </c>
      <c r="I19" vm="151">
        <f ca="1"/>
        <v>54.4</v>
      </c>
      <c r="J19" s="27" vm="152">
        <f ca="1"/>
        <v>418.88</v>
      </c>
      <c r="K19" s="5">
        <f t="shared" ca="1" si="1"/>
        <v>8.723698330756352E-2</v>
      </c>
      <c r="L19" s="5">
        <f t="shared" ca="1" si="2"/>
        <v>7.3452825131680791E-2</v>
      </c>
      <c r="M19" s="5">
        <f t="shared" ca="1" si="3"/>
        <v>9.6805917232308886E-2</v>
      </c>
      <c r="N19" s="5">
        <f t="shared" ca="1" si="4"/>
        <v>8.0963361247011392E-3</v>
      </c>
      <c r="O19" s="5">
        <f t="shared" ca="1" si="5"/>
        <v>-7.620948488247962E-4</v>
      </c>
      <c r="P19" s="5">
        <f t="shared" ca="1" si="6"/>
        <v>-3.417385709932895E-2</v>
      </c>
      <c r="Q19" s="5">
        <f t="shared" ca="1" si="7"/>
        <v>2.4941595365981208E-2</v>
      </c>
      <c r="R19" s="5">
        <f t="shared" ca="1" si="8"/>
        <v>-5.6116204261504959E-2</v>
      </c>
      <c r="S19" s="5">
        <f t="shared" ca="1" si="9"/>
        <v>5.1584841044620355E-2</v>
      </c>
    </row>
    <row r="20" spans="1:19" ht="15.75" thickBot="1" x14ac:dyDescent="0.3">
      <c r="A20" s="24">
        <v>44317</v>
      </c>
      <c r="B20" vm="153">
        <f ca="1"/>
        <v>93.95</v>
      </c>
      <c r="C20" vm="154">
        <f ca="1"/>
        <v>124.61</v>
      </c>
      <c r="D20" vm="155">
        <f ca="1"/>
        <v>106.97</v>
      </c>
      <c r="E20" vm="156">
        <f ca="1"/>
        <v>178.65</v>
      </c>
      <c r="F20" vm="157">
        <f ca="1"/>
        <v>70.001300000000001</v>
      </c>
      <c r="G20" vm="158">
        <f ca="1"/>
        <v>72.363399999999999</v>
      </c>
      <c r="H20" vm="159">
        <f ca="1"/>
        <v>58.37</v>
      </c>
      <c r="I20" vm="160">
        <f ca="1"/>
        <v>58.35</v>
      </c>
      <c r="J20" s="27" vm="161">
        <f ca="1"/>
        <v>421.65</v>
      </c>
      <c r="K20" s="5">
        <f t="shared" ca="1" si="1"/>
        <v>-2.9057480447062831E-2</v>
      </c>
      <c r="L20" s="5">
        <f t="shared" ca="1" si="2"/>
        <v>-5.3513762880654001E-2</v>
      </c>
      <c r="M20" s="5">
        <f t="shared" ca="1" si="3"/>
        <v>6.3784699819818033E-2</v>
      </c>
      <c r="N20" s="5">
        <f t="shared" ca="1" si="4"/>
        <v>-4.0425610344902142E-2</v>
      </c>
      <c r="O20" s="5">
        <f t="shared" ca="1" si="5"/>
        <v>6.9195643380441346E-2</v>
      </c>
      <c r="P20" s="5">
        <f t="shared" ca="1" si="6"/>
        <v>1.8485701574565794E-2</v>
      </c>
      <c r="Q20" s="5">
        <f t="shared" ca="1" si="7"/>
        <v>1.9549104527449394E-2</v>
      </c>
      <c r="R20" s="5">
        <f t="shared" ca="1" si="8"/>
        <v>7.0095204870668171E-2</v>
      </c>
      <c r="S20" s="5">
        <f t="shared" ca="1" si="9"/>
        <v>6.5911032991153549E-3</v>
      </c>
    </row>
    <row r="21" spans="1:19" ht="15.75" thickBot="1" x14ac:dyDescent="0.3">
      <c r="A21" s="24">
        <v>44348</v>
      </c>
      <c r="B21" vm="162">
        <f ca="1"/>
        <v>104.44</v>
      </c>
      <c r="C21" vm="163">
        <f ca="1"/>
        <v>136.96</v>
      </c>
      <c r="D21" vm="164">
        <f ca="1"/>
        <v>102.47</v>
      </c>
      <c r="E21" vm="165">
        <f ca="1"/>
        <v>175.77</v>
      </c>
      <c r="F21" vm="166">
        <f ca="1"/>
        <v>67.014099999999999</v>
      </c>
      <c r="G21" vm="167">
        <f ca="1"/>
        <v>77.77</v>
      </c>
      <c r="H21" vm="168">
        <f ca="1"/>
        <v>63.08</v>
      </c>
      <c r="I21" vm="169">
        <f ca="1"/>
        <v>52.29</v>
      </c>
      <c r="J21" s="27" vm="170">
        <f ca="1"/>
        <v>429.92</v>
      </c>
      <c r="K21" s="5">
        <f t="shared" ca="1" si="1"/>
        <v>0.10585001797145373</v>
      </c>
      <c r="L21" s="5">
        <f t="shared" ca="1" si="2"/>
        <v>9.4500052438655807E-2</v>
      </c>
      <c r="M21" s="5">
        <f t="shared" ca="1" si="3"/>
        <v>-4.2978348506412925E-2</v>
      </c>
      <c r="N21" s="5">
        <f t="shared" ca="1" si="4"/>
        <v>-1.6252262244611824E-2</v>
      </c>
      <c r="O21" s="5">
        <f t="shared" ca="1" si="5"/>
        <v>-4.3610768294347325E-2</v>
      </c>
      <c r="P21" s="5">
        <f t="shared" ca="1" si="6"/>
        <v>7.2055105997832117E-2</v>
      </c>
      <c r="Q21" s="5">
        <f t="shared" ca="1" si="7"/>
        <v>7.7601702879137993E-2</v>
      </c>
      <c r="R21" s="5">
        <f t="shared" ca="1" si="8"/>
        <v>-0.10965421053252583</v>
      </c>
      <c r="S21" s="5">
        <f t="shared" ca="1" si="9"/>
        <v>1.9423558846530537E-2</v>
      </c>
    </row>
    <row r="22" spans="1:19" ht="15.75" thickBot="1" x14ac:dyDescent="0.3">
      <c r="A22" s="24">
        <v>44378</v>
      </c>
      <c r="B22" vm="171">
        <f ca="1"/>
        <v>114.12</v>
      </c>
      <c r="C22" vm="172">
        <f ca="1"/>
        <v>145.86000000000001</v>
      </c>
      <c r="D22" vm="173">
        <f ca="1"/>
        <v>100.28</v>
      </c>
      <c r="E22" vm="174">
        <f ca="1"/>
        <v>176.02</v>
      </c>
      <c r="F22" vm="175">
        <f ca="1"/>
        <v>64.474900000000005</v>
      </c>
      <c r="G22" vm="176">
        <f ca="1"/>
        <v>76.87</v>
      </c>
      <c r="H22" vm="177">
        <f ca="1"/>
        <v>57.57</v>
      </c>
      <c r="I22" vm="178">
        <f ca="1"/>
        <v>46.72</v>
      </c>
      <c r="J22" s="27" vm="179">
        <f ca="1"/>
        <v>440.4</v>
      </c>
      <c r="K22" s="5">
        <f t="shared" ca="1" si="1"/>
        <v>8.8637782514371113E-2</v>
      </c>
      <c r="L22" s="5">
        <f t="shared" ca="1" si="2"/>
        <v>6.2958345162655041E-2</v>
      </c>
      <c r="M22" s="5">
        <f t="shared" ca="1" si="3"/>
        <v>-2.1603799521533847E-2</v>
      </c>
      <c r="N22" s="5">
        <f t="shared" ca="1" si="4"/>
        <v>1.4213027208586845E-3</v>
      </c>
      <c r="O22" s="5">
        <f t="shared" ca="1" si="5"/>
        <v>-3.8627044233685813E-2</v>
      </c>
      <c r="P22" s="5">
        <f t="shared" ca="1" si="6"/>
        <v>-1.1640069345811157E-2</v>
      </c>
      <c r="Q22" s="5">
        <f t="shared" ca="1" si="7"/>
        <v>-9.1402163407119374E-2</v>
      </c>
      <c r="R22" s="5">
        <f t="shared" ca="1" si="8"/>
        <v>-0.11263280968006764</v>
      </c>
      <c r="S22" s="5">
        <f t="shared" ca="1" si="9"/>
        <v>2.4084259981343677E-2</v>
      </c>
    </row>
    <row r="23" spans="1:19" ht="15.75" thickBot="1" x14ac:dyDescent="0.3">
      <c r="A23" s="24">
        <v>44409</v>
      </c>
      <c r="B23" vm="180">
        <f ca="1"/>
        <v>127.53</v>
      </c>
      <c r="C23" vm="181">
        <f ca="1"/>
        <v>151.83000000000001</v>
      </c>
      <c r="D23" vm="182">
        <f ca="1"/>
        <v>105.88</v>
      </c>
      <c r="E23" vm="183">
        <f ca="1"/>
        <v>181.3</v>
      </c>
      <c r="F23" vm="184">
        <f ca="1"/>
        <v>65.601299999999995</v>
      </c>
      <c r="G23" vm="185">
        <f ca="1"/>
        <v>76.290000000000006</v>
      </c>
      <c r="H23" vm="186">
        <f ca="1"/>
        <v>54.52</v>
      </c>
      <c r="I23" vm="187">
        <f ca="1"/>
        <v>46.51</v>
      </c>
      <c r="J23" s="27" vm="188">
        <f ca="1"/>
        <v>453.71</v>
      </c>
      <c r="K23" s="5">
        <f t="shared" ca="1" si="1"/>
        <v>0.11110110469350915</v>
      </c>
      <c r="L23" s="5">
        <f t="shared" ca="1" si="2"/>
        <v>4.0114216338009302E-2</v>
      </c>
      <c r="M23" s="5">
        <f t="shared" ca="1" si="3"/>
        <v>5.4340104068807911E-2</v>
      </c>
      <c r="N23" s="5">
        <f t="shared" ca="1" si="4"/>
        <v>2.9555492815139615E-2</v>
      </c>
      <c r="O23" s="5">
        <f t="shared" ca="1" si="5"/>
        <v>1.7319512049407994E-2</v>
      </c>
      <c r="P23" s="5">
        <f t="shared" ca="1" si="6"/>
        <v>-7.5738152589026018E-3</v>
      </c>
      <c r="Q23" s="5">
        <f t="shared" ca="1" si="7"/>
        <v>-5.4433991859386376E-2</v>
      </c>
      <c r="R23" s="5">
        <f t="shared" ca="1" si="8"/>
        <v>-4.5049952839659544E-3</v>
      </c>
      <c r="S23" s="5">
        <f t="shared" ca="1" si="9"/>
        <v>2.9774822574747176E-2</v>
      </c>
    </row>
    <row r="24" spans="1:19" ht="15.75" thickBot="1" x14ac:dyDescent="0.3">
      <c r="A24" s="24">
        <v>44440</v>
      </c>
      <c r="B24" vm="189">
        <f ca="1"/>
        <v>126.99</v>
      </c>
      <c r="C24" vm="190">
        <f ca="1"/>
        <v>141.5</v>
      </c>
      <c r="D24" vm="191">
        <f ca="1"/>
        <v>105.2</v>
      </c>
      <c r="E24" vm="192">
        <f ca="1"/>
        <v>169.17</v>
      </c>
      <c r="F24" vm="193">
        <f ca="1"/>
        <v>64.120199999999997</v>
      </c>
      <c r="G24" vm="194">
        <f ca="1"/>
        <v>75.11</v>
      </c>
      <c r="H24" vm="195">
        <f ca="1"/>
        <v>58.82</v>
      </c>
      <c r="I24" vm="196">
        <f ca="1"/>
        <v>47.57</v>
      </c>
      <c r="J24" s="27" vm="197">
        <f ca="1"/>
        <v>430.82</v>
      </c>
      <c r="K24" s="5">
        <f t="shared" ca="1" si="1"/>
        <v>-4.2432878378664326E-3</v>
      </c>
      <c r="L24" s="5">
        <f t="shared" ca="1" si="2"/>
        <v>-7.0461756810804105E-2</v>
      </c>
      <c r="M24" s="5">
        <f t="shared" ca="1" si="3"/>
        <v>-6.4430770552909942E-3</v>
      </c>
      <c r="N24" s="5">
        <f t="shared" ca="1" si="4"/>
        <v>-6.9248991273605079E-2</v>
      </c>
      <c r="O24" s="5">
        <f t="shared" ca="1" si="5"/>
        <v>-2.2836065938780035E-2</v>
      </c>
      <c r="P24" s="5">
        <f t="shared" ca="1" si="6"/>
        <v>-1.55881624042176E-2</v>
      </c>
      <c r="Q24" s="5">
        <f t="shared" ca="1" si="7"/>
        <v>7.5914326297517126E-2</v>
      </c>
      <c r="R24" s="5">
        <f t="shared" ca="1" si="8"/>
        <v>2.2534967208184434E-2</v>
      </c>
      <c r="S24" s="5">
        <f t="shared" ca="1" si="9"/>
        <v>-5.1767857963318488E-2</v>
      </c>
    </row>
    <row r="25" spans="1:19" ht="15.75" thickBot="1" x14ac:dyDescent="0.3">
      <c r="A25" s="24">
        <v>44470</v>
      </c>
      <c r="B25" vm="84">
        <f ca="1"/>
        <v>124.08</v>
      </c>
      <c r="C25" vm="198">
        <f ca="1"/>
        <v>149.80000000000001</v>
      </c>
      <c r="D25" vm="199">
        <f ca="1"/>
        <v>110.05</v>
      </c>
      <c r="E25" vm="200">
        <f ca="1"/>
        <v>169.07</v>
      </c>
      <c r="F25" vm="201">
        <f ca="1"/>
        <v>65.265299999999996</v>
      </c>
      <c r="G25" vm="202">
        <f ca="1"/>
        <v>88.05</v>
      </c>
      <c r="H25" vm="203">
        <f ca="1"/>
        <v>64.47</v>
      </c>
      <c r="I25" vm="204">
        <f ca="1"/>
        <v>46.14</v>
      </c>
      <c r="J25" s="27" vm="205">
        <f ca="1"/>
        <v>460.99</v>
      </c>
      <c r="K25" s="5">
        <f t="shared" ca="1" si="1"/>
        <v>-2.3181824332658581E-2</v>
      </c>
      <c r="L25" s="5">
        <f t="shared" ca="1" si="2"/>
        <v>5.7001353999826844E-2</v>
      </c>
      <c r="M25" s="5">
        <f t="shared" ca="1" si="3"/>
        <v>4.5071507668861206E-2</v>
      </c>
      <c r="N25" s="5">
        <f t="shared" ca="1" si="4"/>
        <v>-5.9129613832538896E-4</v>
      </c>
      <c r="O25" s="5">
        <f t="shared" ca="1" si="5"/>
        <v>1.7701054586559791E-2</v>
      </c>
      <c r="P25" s="5">
        <f t="shared" ca="1" si="6"/>
        <v>0.15895112924429472</v>
      </c>
      <c r="Q25" s="5">
        <f t="shared" ca="1" si="7"/>
        <v>9.1718066196679854E-2</v>
      </c>
      <c r="R25" s="5">
        <f t="shared" ca="1" si="8"/>
        <v>-3.0522057698582555E-2</v>
      </c>
      <c r="S25" s="5">
        <f t="shared" ca="1" si="9"/>
        <v>6.7685981327451156E-2</v>
      </c>
    </row>
    <row r="26" spans="1:19" ht="15.75" thickBot="1" x14ac:dyDescent="0.3">
      <c r="A26" s="24">
        <v>44501</v>
      </c>
      <c r="B26" vm="206">
        <f ca="1"/>
        <v>121.92</v>
      </c>
      <c r="C26" vm="207">
        <f ca="1"/>
        <v>165.3</v>
      </c>
      <c r="D26" vm="208">
        <f ca="1"/>
        <v>102.26</v>
      </c>
      <c r="E26" vm="209">
        <f ca="1"/>
        <v>144.9</v>
      </c>
      <c r="F26" vm="210">
        <f ca="1"/>
        <v>59.116500000000002</v>
      </c>
      <c r="G26" vm="211">
        <f ca="1"/>
        <v>74.91</v>
      </c>
      <c r="H26" vm="212">
        <f ca="1"/>
        <v>59.84</v>
      </c>
      <c r="I26" vm="213">
        <f ca="1"/>
        <v>42.26</v>
      </c>
      <c r="J26" s="27" vm="214">
        <f ca="1"/>
        <v>457.63</v>
      </c>
      <c r="K26" s="5">
        <f t="shared" ca="1" si="1"/>
        <v>-1.7561426929947183E-2</v>
      </c>
      <c r="L26" s="5">
        <f t="shared" ca="1" si="2"/>
        <v>9.8460933743859308E-2</v>
      </c>
      <c r="M26" s="5">
        <f t="shared" ca="1" si="3"/>
        <v>-7.3416218320617427E-2</v>
      </c>
      <c r="N26" s="5">
        <f t="shared" ca="1" si="4"/>
        <v>-0.15426898102223824</v>
      </c>
      <c r="O26" s="5">
        <f t="shared" ca="1" si="5"/>
        <v>-9.8950428210992966E-2</v>
      </c>
      <c r="P26" s="5">
        <f t="shared" ca="1" si="6"/>
        <v>-0.16161744198242359</v>
      </c>
      <c r="Q26" s="5">
        <f t="shared" ca="1" si="7"/>
        <v>-7.4525665656306861E-2</v>
      </c>
      <c r="R26" s="5">
        <f t="shared" ca="1" si="8"/>
        <v>-8.7839240557697068E-2</v>
      </c>
      <c r="S26" s="5">
        <f t="shared" ca="1" si="9"/>
        <v>-7.3153534301832112E-3</v>
      </c>
    </row>
    <row r="27" spans="1:19" ht="15.75" thickBot="1" x14ac:dyDescent="0.3">
      <c r="A27" s="24">
        <v>44531</v>
      </c>
      <c r="B27" vm="215">
        <f ca="1"/>
        <v>133.47</v>
      </c>
      <c r="C27" vm="216">
        <f ca="1"/>
        <v>177.57</v>
      </c>
      <c r="D27" vm="217">
        <f ca="1"/>
        <v>108.24</v>
      </c>
      <c r="E27" vm="218">
        <f ca="1"/>
        <v>154.88999999999999</v>
      </c>
      <c r="F27" vm="219">
        <f ca="1"/>
        <v>58.792900000000003</v>
      </c>
      <c r="G27" vm="220">
        <f ca="1"/>
        <v>76.64</v>
      </c>
      <c r="H27" vm="221">
        <f ca="1"/>
        <v>61.19</v>
      </c>
      <c r="I27" vm="222">
        <f ca="1"/>
        <v>43.78</v>
      </c>
      <c r="J27" s="27" vm="223">
        <f ca="1"/>
        <v>476.99</v>
      </c>
      <c r="K27" s="5">
        <f t="shared" ca="1" si="1"/>
        <v>9.0511641547723967E-2</v>
      </c>
      <c r="L27" s="5">
        <f t="shared" ca="1" si="2"/>
        <v>7.1602892543764798E-2</v>
      </c>
      <c r="M27" s="5">
        <f t="shared" ca="1" si="3"/>
        <v>5.6832394210679357E-2</v>
      </c>
      <c r="N27" s="5">
        <f t="shared" ca="1" si="4"/>
        <v>6.6671338233030661E-2</v>
      </c>
      <c r="O27" s="5">
        <f t="shared" ca="1" si="5"/>
        <v>-5.4889739490463297E-3</v>
      </c>
      <c r="P27" s="5">
        <f t="shared" ca="1" si="6"/>
        <v>2.2831740702813599E-2</v>
      </c>
      <c r="Q27" s="5">
        <f t="shared" ca="1" si="7"/>
        <v>2.2309443808227265E-2</v>
      </c>
      <c r="R27" s="5">
        <f t="shared" ca="1" si="8"/>
        <v>3.5336079906806407E-2</v>
      </c>
      <c r="S27" s="5">
        <f t="shared" ca="1" si="9"/>
        <v>4.1434528950777552E-2</v>
      </c>
    </row>
    <row r="28" spans="1:19" ht="15.75" thickBot="1" x14ac:dyDescent="0.3">
      <c r="A28" s="24">
        <v>44562</v>
      </c>
      <c r="B28" vm="224">
        <f ca="1"/>
        <v>123.45</v>
      </c>
      <c r="C28" vm="225">
        <f ca="1"/>
        <v>174.78</v>
      </c>
      <c r="D28" vm="226">
        <f ca="1"/>
        <v>111.57</v>
      </c>
      <c r="E28" vm="227">
        <f ca="1"/>
        <v>142.97</v>
      </c>
      <c r="F28" vm="228">
        <f ca="1"/>
        <v>58.799100000000003</v>
      </c>
      <c r="G28" vm="229">
        <f ca="1"/>
        <v>81.48</v>
      </c>
      <c r="H28" vm="230">
        <f ca="1"/>
        <v>75.959999999999994</v>
      </c>
      <c r="I28" vm="231">
        <f ca="1"/>
        <v>42.88</v>
      </c>
      <c r="J28" s="27" vm="232">
        <f ca="1"/>
        <v>451.77</v>
      </c>
      <c r="K28" s="5">
        <f t="shared" ca="1" si="1"/>
        <v>-7.8040517694871622E-2</v>
      </c>
      <c r="L28" s="5">
        <f t="shared" ca="1" si="2"/>
        <v>-1.5836857171345101E-2</v>
      </c>
      <c r="M28" s="5">
        <f t="shared" ca="1" si="3"/>
        <v>3.0301212742555764E-2</v>
      </c>
      <c r="N28" s="5">
        <f t="shared" ca="1" si="4"/>
        <v>-8.0080369518594541E-2</v>
      </c>
      <c r="O28" s="5">
        <f t="shared" ca="1" si="5"/>
        <v>1.0544935039365876E-4</v>
      </c>
      <c r="P28" s="5">
        <f t="shared" ca="1" si="6"/>
        <v>6.1238457695999907E-2</v>
      </c>
      <c r="Q28" s="5">
        <f t="shared" ca="1" si="7"/>
        <v>0.21622310846963599</v>
      </c>
      <c r="R28" s="5">
        <f t="shared" ca="1" si="8"/>
        <v>-2.0771575332170278E-2</v>
      </c>
      <c r="S28" s="5">
        <f t="shared" ca="1" si="9"/>
        <v>-5.4322325541161204E-2</v>
      </c>
    </row>
    <row r="29" spans="1:19" ht="15.75" thickBot="1" x14ac:dyDescent="0.3">
      <c r="A29" s="24">
        <v>44593</v>
      </c>
      <c r="B29" vm="233">
        <f ca="1"/>
        <v>106.82</v>
      </c>
      <c r="C29" vm="234">
        <f ca="1"/>
        <v>165.12</v>
      </c>
      <c r="D29" vm="235">
        <f ca="1"/>
        <v>111.66</v>
      </c>
      <c r="E29" vm="236">
        <f ca="1"/>
        <v>148.46</v>
      </c>
      <c r="F29" vm="237">
        <f ca="1"/>
        <v>59.440100000000001</v>
      </c>
      <c r="G29" vm="238">
        <f ca="1"/>
        <v>76.58</v>
      </c>
      <c r="H29" vm="239">
        <f ca="1"/>
        <v>78.42</v>
      </c>
      <c r="I29" vm="240">
        <f ca="1"/>
        <v>44.4</v>
      </c>
      <c r="J29" s="27" vm="241">
        <f ca="1"/>
        <v>438.72</v>
      </c>
      <c r="K29" s="5">
        <f t="shared" ca="1" si="1"/>
        <v>-0.14469104087956439</v>
      </c>
      <c r="L29" s="5">
        <f t="shared" ca="1" si="2"/>
        <v>-5.6855557906200289E-2</v>
      </c>
      <c r="M29" s="5">
        <f t="shared" ca="1" si="3"/>
        <v>8.0634327712614002E-4</v>
      </c>
      <c r="N29" s="5">
        <f t="shared" ca="1" si="4"/>
        <v>3.7680743648328109E-2</v>
      </c>
      <c r="O29" s="5">
        <f t="shared" ca="1" si="5"/>
        <v>1.0842534111871317E-2</v>
      </c>
      <c r="P29" s="5">
        <f t="shared" ca="1" si="6"/>
        <v>-6.2021645309456745E-2</v>
      </c>
      <c r="Q29" s="5">
        <f t="shared" ca="1" si="7"/>
        <v>3.1872110920100651E-2</v>
      </c>
      <c r="R29" s="5">
        <f t="shared" ca="1" si="8"/>
        <v>3.4833952675632489E-2</v>
      </c>
      <c r="S29" s="5">
        <f t="shared" ca="1" si="9"/>
        <v>-2.9311804392888084E-2</v>
      </c>
    </row>
    <row r="30" spans="1:19" ht="15.75" thickBot="1" x14ac:dyDescent="0.3">
      <c r="A30" s="24">
        <v>44621</v>
      </c>
      <c r="B30" vm="242">
        <f ca="1"/>
        <v>105.28</v>
      </c>
      <c r="C30" vm="243">
        <f ca="1"/>
        <v>174.61</v>
      </c>
      <c r="D30" vm="244">
        <f ca="1"/>
        <v>118.17</v>
      </c>
      <c r="E30" vm="245">
        <f ca="1"/>
        <v>137.16</v>
      </c>
      <c r="F30" vm="246">
        <f ca="1"/>
        <v>56.944499999999998</v>
      </c>
      <c r="G30" vm="247">
        <f ca="1"/>
        <v>82.05</v>
      </c>
      <c r="H30" vm="248">
        <f ca="1"/>
        <v>82.59</v>
      </c>
      <c r="I30" vm="249">
        <f ca="1"/>
        <v>46.36</v>
      </c>
      <c r="J30" s="27" vm="250">
        <f ca="1"/>
        <v>453.69</v>
      </c>
      <c r="K30" s="5">
        <f t="shared" ca="1" si="1"/>
        <v>-1.452170733461711E-2</v>
      </c>
      <c r="L30" s="5">
        <f t="shared" ca="1" si="2"/>
        <v>5.5882433240838261E-2</v>
      </c>
      <c r="M30" s="5">
        <f t="shared" ca="1" si="3"/>
        <v>5.6665725768709915E-2</v>
      </c>
      <c r="N30" s="5">
        <f t="shared" ca="1" si="4"/>
        <v>-7.9167434094681327E-2</v>
      </c>
      <c r="O30" s="5">
        <f t="shared" ca="1" si="5"/>
        <v>-4.2891973491239764E-2</v>
      </c>
      <c r="P30" s="5">
        <f t="shared" ca="1" si="6"/>
        <v>6.8992871486951421E-2</v>
      </c>
      <c r="Q30" s="5">
        <f t="shared" ca="1" si="7"/>
        <v>5.1809610958440028E-2</v>
      </c>
      <c r="R30" s="5">
        <f t="shared" ca="1" si="8"/>
        <v>4.3197549033371883E-2</v>
      </c>
      <c r="S30" s="5">
        <f t="shared" ca="1" si="9"/>
        <v>3.35527490568093E-2</v>
      </c>
    </row>
    <row r="31" spans="1:19" ht="15.75" thickBot="1" x14ac:dyDescent="0.3">
      <c r="A31" s="24">
        <v>44652</v>
      </c>
      <c r="B31" vm="251">
        <f ca="1"/>
        <v>91.05</v>
      </c>
      <c r="C31" vm="252">
        <f ca="1"/>
        <v>157.65</v>
      </c>
      <c r="D31" vm="253">
        <f ca="1"/>
        <v>108.51</v>
      </c>
      <c r="E31" vm="254">
        <f ca="1"/>
        <v>111.63</v>
      </c>
      <c r="F31" vm="255">
        <f ca="1"/>
        <v>46.395800000000001</v>
      </c>
      <c r="G31" vm="256">
        <f ca="1"/>
        <v>88.69</v>
      </c>
      <c r="H31" vm="257">
        <f ca="1"/>
        <v>85.25</v>
      </c>
      <c r="I31" vm="258">
        <f ca="1"/>
        <v>50.5</v>
      </c>
      <c r="J31" s="27" vm="259">
        <f ca="1"/>
        <v>413.56</v>
      </c>
      <c r="K31" s="5">
        <f t="shared" ca="1" si="1"/>
        <v>-0.14521466140339015</v>
      </c>
      <c r="L31" s="5">
        <f t="shared" ca="1" si="2"/>
        <v>-0.10217752954296631</v>
      </c>
      <c r="M31" s="5">
        <f t="shared" ca="1" si="3"/>
        <v>-8.5281931018807849E-2</v>
      </c>
      <c r="N31" s="5">
        <f t="shared" ca="1" si="4"/>
        <v>-0.20595829656807876</v>
      </c>
      <c r="O31" s="5">
        <f t="shared" ca="1" si="5"/>
        <v>-0.20486817139172644</v>
      </c>
      <c r="P31" s="5">
        <f t="shared" ca="1" si="6"/>
        <v>7.7818325852261019E-2</v>
      </c>
      <c r="Q31" s="5">
        <f t="shared" ca="1" si="7"/>
        <v>3.1699508341000542E-2</v>
      </c>
      <c r="R31" s="5">
        <f t="shared" ca="1" si="8"/>
        <v>8.5536317809763091E-2</v>
      </c>
      <c r="S31" s="5">
        <f t="shared" ca="1" si="9"/>
        <v>-9.2611538712266517E-2</v>
      </c>
    </row>
    <row r="32" spans="1:19" ht="15.75" thickBot="1" x14ac:dyDescent="0.3">
      <c r="A32" s="24">
        <v>44682</v>
      </c>
      <c r="B32" vm="260">
        <f ca="1"/>
        <v>88.01</v>
      </c>
      <c r="C32" vm="261">
        <f ca="1"/>
        <v>148.84</v>
      </c>
      <c r="D32" vm="262">
        <f ca="1"/>
        <v>106.25</v>
      </c>
      <c r="E32" vm="263">
        <f ca="1"/>
        <v>110.44</v>
      </c>
      <c r="F32" vm="264">
        <f ca="1"/>
        <v>48.723399999999998</v>
      </c>
      <c r="G32" vm="265">
        <f ca="1"/>
        <v>92.03</v>
      </c>
      <c r="H32" vm="266">
        <f ca="1"/>
        <v>96</v>
      </c>
      <c r="I32" vm="267">
        <f ca="1"/>
        <v>47.63</v>
      </c>
      <c r="J32" s="27" vm="268">
        <f ca="1"/>
        <v>414.87</v>
      </c>
      <c r="K32" s="5">
        <f t="shared" ca="1" si="1"/>
        <v>-3.3958361787896463E-2</v>
      </c>
      <c r="L32" s="5">
        <f t="shared" ca="1" si="2"/>
        <v>-5.7505482512648039E-2</v>
      </c>
      <c r="M32" s="5">
        <f t="shared" ca="1" si="3"/>
        <v>-2.1047526827590132E-2</v>
      </c>
      <c r="N32" s="5">
        <f t="shared" ca="1" si="4"/>
        <v>-1.0717443964687113E-2</v>
      </c>
      <c r="O32" s="5">
        <f t="shared" ca="1" si="5"/>
        <v>4.8950469608080818E-2</v>
      </c>
      <c r="P32" s="5">
        <f t="shared" ca="1" si="6"/>
        <v>3.6967467462404674E-2</v>
      </c>
      <c r="Q32" s="5">
        <f t="shared" ca="1" si="7"/>
        <v>0.11876007530421016</v>
      </c>
      <c r="R32" s="5">
        <f t="shared" ca="1" si="8"/>
        <v>-5.8510521468545053E-2</v>
      </c>
      <c r="S32" s="5">
        <f t="shared" ca="1" si="9"/>
        <v>3.162611426184429E-3</v>
      </c>
    </row>
    <row r="33" spans="1:19" ht="15.75" thickBot="1" x14ac:dyDescent="0.3">
      <c r="A33" s="24">
        <v>44713</v>
      </c>
      <c r="B33" vm="269">
        <f ca="1"/>
        <v>83.52</v>
      </c>
      <c r="C33" vm="270">
        <f ca="1"/>
        <v>136.72</v>
      </c>
      <c r="D33" vm="271">
        <f ca="1"/>
        <v>95.68</v>
      </c>
      <c r="E33" vm="272">
        <f ca="1"/>
        <v>94.4</v>
      </c>
      <c r="F33" vm="273">
        <f ca="1"/>
        <v>39.624699999999997</v>
      </c>
      <c r="G33" vm="274">
        <f ca="1"/>
        <v>91.17</v>
      </c>
      <c r="H33" vm="275">
        <f ca="1"/>
        <v>85.64</v>
      </c>
      <c r="I33" vm="276">
        <f ca="1"/>
        <v>35.42</v>
      </c>
      <c r="J33" s="27" vm="277">
        <f ca="1"/>
        <v>379.15</v>
      </c>
      <c r="K33" s="5">
        <f t="shared" ca="1" si="1"/>
        <v>-5.2364320251391851E-2</v>
      </c>
      <c r="L33" s="5">
        <f t="shared" ca="1" si="2"/>
        <v>-8.4936864671086312E-2</v>
      </c>
      <c r="M33" s="5">
        <f t="shared" ca="1" si="3"/>
        <v>-0.10478551760220448</v>
      </c>
      <c r="N33" s="5">
        <f t="shared" ca="1" si="4"/>
        <v>-0.15693131391049867</v>
      </c>
      <c r="O33" s="5">
        <f t="shared" ca="1" si="5"/>
        <v>-0.20670674631111174</v>
      </c>
      <c r="P33" s="5">
        <f t="shared" ca="1" si="6"/>
        <v>-9.3887152539541448E-3</v>
      </c>
      <c r="Q33" s="5">
        <f t="shared" ca="1" si="7"/>
        <v>-0.11419572774635418</v>
      </c>
      <c r="R33" s="5">
        <f t="shared" ca="1" si="8"/>
        <v>-0.29618618245808159</v>
      </c>
      <c r="S33" s="5">
        <f t="shared" ca="1" si="9"/>
        <v>-9.0033312997732234E-2</v>
      </c>
    </row>
    <row r="34" spans="1:19" ht="15.75" thickBot="1" x14ac:dyDescent="0.3">
      <c r="A34" s="24">
        <v>44743</v>
      </c>
      <c r="B34" vm="278">
        <f ca="1"/>
        <v>95.89</v>
      </c>
      <c r="C34" vm="279">
        <f ca="1"/>
        <v>162.51</v>
      </c>
      <c r="D34" vm="280">
        <f ca="1"/>
        <v>99.99</v>
      </c>
      <c r="E34" vm="281">
        <f ca="1"/>
        <v>106.1</v>
      </c>
      <c r="F34" vm="282">
        <f ca="1"/>
        <v>45.997500000000002</v>
      </c>
      <c r="G34" vm="283">
        <f ca="1"/>
        <v>89.34</v>
      </c>
      <c r="H34" vm="284">
        <f ca="1"/>
        <v>96.93</v>
      </c>
      <c r="I34" vm="285">
        <f ca="1"/>
        <v>36.75</v>
      </c>
      <c r="J34" s="27" vm="286">
        <f ca="1"/>
        <v>414.28</v>
      </c>
      <c r="K34" s="5">
        <f t="shared" ca="1" si="1"/>
        <v>0.13811557703126132</v>
      </c>
      <c r="L34" s="5">
        <f t="shared" ca="1" si="2"/>
        <v>0.17280449953058177</v>
      </c>
      <c r="M34" s="5">
        <f t="shared" ca="1" si="3"/>
        <v>4.4060890785436208E-2</v>
      </c>
      <c r="N34" s="5">
        <f t="shared" ca="1" si="4"/>
        <v>0.11684097246848239</v>
      </c>
      <c r="O34" s="5">
        <f t="shared" ca="1" si="5"/>
        <v>0.14913438599524489</v>
      </c>
      <c r="P34" s="5">
        <f t="shared" ca="1" si="6"/>
        <v>-2.0276579672838767E-2</v>
      </c>
      <c r="Q34" s="5">
        <f t="shared" ca="1" si="7"/>
        <v>0.12383660478303464</v>
      </c>
      <c r="R34" s="5">
        <f t="shared" ca="1" si="8"/>
        <v>3.6861593304158204E-2</v>
      </c>
      <c r="S34" s="5">
        <f t="shared" ca="1" si="9"/>
        <v>8.8610168573733578E-2</v>
      </c>
    </row>
    <row r="35" spans="1:19" ht="15.75" thickBot="1" x14ac:dyDescent="0.3">
      <c r="A35" s="24">
        <v>44774</v>
      </c>
      <c r="B35" vm="287">
        <f ca="1"/>
        <v>80.83</v>
      </c>
      <c r="C35" vm="288">
        <f ca="1"/>
        <v>157.22</v>
      </c>
      <c r="D35" vm="289">
        <f ca="1"/>
        <v>95.75</v>
      </c>
      <c r="E35" vm="290">
        <f ca="1"/>
        <v>112.08</v>
      </c>
      <c r="F35" vm="291">
        <f ca="1"/>
        <v>45.704999999999998</v>
      </c>
      <c r="G35" vm="292">
        <f ca="1"/>
        <v>85.36</v>
      </c>
      <c r="H35" vm="293">
        <f ca="1"/>
        <v>95.59</v>
      </c>
      <c r="I35" vm="294">
        <f ca="1"/>
        <v>35.01</v>
      </c>
      <c r="J35" s="27" vm="295">
        <f ca="1"/>
        <v>397.18</v>
      </c>
      <c r="K35" s="5">
        <f t="shared" ca="1" si="1"/>
        <v>-0.17085351741983679</v>
      </c>
      <c r="L35" s="5">
        <f t="shared" ca="1" si="2"/>
        <v>-3.3093439972306703E-2</v>
      </c>
      <c r="M35" s="5">
        <f t="shared" ca="1" si="3"/>
        <v>-4.3329552927002572E-2</v>
      </c>
      <c r="N35" s="5">
        <f t="shared" ca="1" si="4"/>
        <v>5.4830856408814063E-2</v>
      </c>
      <c r="O35" s="5">
        <f t="shared" ca="1" si="5"/>
        <v>-6.3793460803294759E-3</v>
      </c>
      <c r="P35" s="5">
        <f t="shared" ca="1" si="6"/>
        <v>-4.5571708930474707E-2</v>
      </c>
      <c r="Q35" s="5">
        <f t="shared" ca="1" si="7"/>
        <v>-1.3920856428845399E-2</v>
      </c>
      <c r="R35" s="5">
        <f t="shared" ca="1" si="8"/>
        <v>-4.850449069227139E-2</v>
      </c>
      <c r="S35" s="5">
        <f t="shared" ca="1" si="9"/>
        <v>-4.2152495284659391E-2</v>
      </c>
    </row>
    <row r="36" spans="1:19" ht="15.75" thickBot="1" x14ac:dyDescent="0.3">
      <c r="A36" s="24">
        <v>44805</v>
      </c>
      <c r="B36" vm="296">
        <f ca="1"/>
        <v>70.010000000000005</v>
      </c>
      <c r="C36" vm="297">
        <f ca="1"/>
        <v>138.19999999999999</v>
      </c>
      <c r="D36" vm="298">
        <f ca="1"/>
        <v>85.78</v>
      </c>
      <c r="E36" vm="299">
        <f ca="1"/>
        <v>94.33</v>
      </c>
      <c r="F36" vm="300">
        <f ca="1"/>
        <v>38.529400000000003</v>
      </c>
      <c r="G36" vm="301">
        <f ca="1"/>
        <v>86.12</v>
      </c>
      <c r="H36" vm="302">
        <f ca="1"/>
        <v>87.31</v>
      </c>
      <c r="I36" vm="303">
        <f ca="1"/>
        <v>32.53</v>
      </c>
      <c r="J36" s="27" vm="304">
        <f ca="1"/>
        <v>358.65</v>
      </c>
      <c r="K36" s="5">
        <f t="shared" ca="1" si="1"/>
        <v>-0.14371009475664667</v>
      </c>
      <c r="L36" s="5">
        <f t="shared" ca="1" si="2"/>
        <v>-0.12894418703204094</v>
      </c>
      <c r="M36" s="5">
        <f t="shared" ca="1" si="3"/>
        <v>-0.10995474897202101</v>
      </c>
      <c r="N36" s="5">
        <f t="shared" ca="1" si="4"/>
        <v>-0.17241362936698967</v>
      </c>
      <c r="O36" s="5">
        <f t="shared" ca="1" si="5"/>
        <v>-0.17078611487030423</v>
      </c>
      <c r="P36" s="5">
        <f t="shared" ca="1" si="6"/>
        <v>8.8640655026645029E-3</v>
      </c>
      <c r="Q36" s="5">
        <f t="shared" ca="1" si="7"/>
        <v>-9.0603208252954939E-2</v>
      </c>
      <c r="R36" s="5">
        <f t="shared" ca="1" si="8"/>
        <v>-7.3470994481314125E-2</v>
      </c>
      <c r="S36" s="5">
        <f t="shared" ca="1" si="9"/>
        <v>-0.10204259586357527</v>
      </c>
    </row>
    <row r="37" spans="1:19" ht="15.75" thickBot="1" x14ac:dyDescent="0.3">
      <c r="A37" s="24">
        <v>44835</v>
      </c>
      <c r="B37" vm="305">
        <f ca="1"/>
        <v>72.63</v>
      </c>
      <c r="C37" vm="306">
        <f ca="1"/>
        <v>153.34</v>
      </c>
      <c r="D37" vm="307">
        <f ca="1"/>
        <v>105.19</v>
      </c>
      <c r="E37" vm="308">
        <f ca="1"/>
        <v>106.54</v>
      </c>
      <c r="F37" vm="309">
        <f ca="1"/>
        <v>48.424599999999998</v>
      </c>
      <c r="G37" vm="310">
        <f ca="1"/>
        <v>101.2</v>
      </c>
      <c r="H37" vm="311">
        <f ca="1"/>
        <v>110.81</v>
      </c>
      <c r="I37" vm="312">
        <f ca="1"/>
        <v>43.08</v>
      </c>
      <c r="J37" s="27" vm="313">
        <f ca="1"/>
        <v>387.79</v>
      </c>
      <c r="K37" s="5">
        <f t="shared" ca="1" si="1"/>
        <v>3.6739970628970532E-2</v>
      </c>
      <c r="L37" s="5">
        <f t="shared" ca="1" si="2"/>
        <v>0.10395576679717891</v>
      </c>
      <c r="M37" s="5">
        <f t="shared" ca="1" si="3"/>
        <v>0.20398235966244832</v>
      </c>
      <c r="N37" s="5">
        <f t="shared" ca="1" si="4"/>
        <v>0.12172122882709127</v>
      </c>
      <c r="O37" s="5">
        <f t="shared" ca="1" si="5"/>
        <v>0.22858636282728637</v>
      </c>
      <c r="P37" s="5">
        <f t="shared" ca="1" si="6"/>
        <v>0.16135708435720278</v>
      </c>
      <c r="Q37" s="5">
        <f t="shared" ca="1" si="7"/>
        <v>0.23835201912551779</v>
      </c>
      <c r="R37" s="5">
        <f t="shared" ca="1" si="8"/>
        <v>0.28089611180292767</v>
      </c>
      <c r="S37" s="5">
        <f t="shared" ca="1" si="9"/>
        <v>7.811697341575051E-2</v>
      </c>
    </row>
    <row r="38" spans="1:19" ht="15.75" thickBot="1" x14ac:dyDescent="0.3">
      <c r="A38" s="24">
        <v>44866</v>
      </c>
      <c r="B38" vm="314">
        <f ca="1"/>
        <v>83.26</v>
      </c>
      <c r="C38" vm="315">
        <f ca="1"/>
        <v>148.03</v>
      </c>
      <c r="D38" vm="316">
        <f ca="1"/>
        <v>108.03</v>
      </c>
      <c r="E38" vm="317">
        <f ca="1"/>
        <v>97.87</v>
      </c>
      <c r="F38" vm="318">
        <f ca="1"/>
        <v>53.503</v>
      </c>
      <c r="G38" vm="319">
        <f ca="1"/>
        <v>110.12</v>
      </c>
      <c r="H38" vm="320">
        <f ca="1"/>
        <v>111.34</v>
      </c>
      <c r="I38" vm="321">
        <f ca="1"/>
        <v>44.17</v>
      </c>
      <c r="J38" s="27" vm="322">
        <f ca="1"/>
        <v>409.32</v>
      </c>
      <c r="K38" s="5">
        <f t="shared" ca="1" si="1"/>
        <v>0.13659018214875268</v>
      </c>
      <c r="L38" s="5">
        <f t="shared" ca="1" si="2"/>
        <v>-3.524272220534766E-2</v>
      </c>
      <c r="M38" s="5">
        <f t="shared" ca="1" si="3"/>
        <v>2.6640727577710809E-2</v>
      </c>
      <c r="N38" s="5">
        <f t="shared" ca="1" si="4"/>
        <v>-8.4880434051124998E-2</v>
      </c>
      <c r="O38" s="5">
        <f t="shared" ca="1" si="5"/>
        <v>9.9729778033420799E-2</v>
      </c>
      <c r="P38" s="5">
        <f t="shared" ca="1" si="6"/>
        <v>8.4471923421041331E-2</v>
      </c>
      <c r="Q38" s="5">
        <f t="shared" ca="1" si="7"/>
        <v>4.7715598071276961E-3</v>
      </c>
      <c r="R38" s="5">
        <f t="shared" ca="1" si="8"/>
        <v>2.4986973320247269E-2</v>
      </c>
      <c r="S38" s="5">
        <f t="shared" ca="1" si="9"/>
        <v>5.4033290230360631E-2</v>
      </c>
    </row>
    <row r="39" spans="1:19" ht="15.75" thickBot="1" x14ac:dyDescent="0.3">
      <c r="A39" s="24">
        <v>44896</v>
      </c>
      <c r="B39" vm="323">
        <f ca="1"/>
        <v>82.31</v>
      </c>
      <c r="C39" vm="324">
        <f ca="1"/>
        <v>129.93</v>
      </c>
      <c r="D39" vm="325">
        <f ca="1"/>
        <v>99.46</v>
      </c>
      <c r="E39" vm="326">
        <f ca="1"/>
        <v>86.88</v>
      </c>
      <c r="F39" vm="327">
        <f ca="1"/>
        <v>52.146299999999997</v>
      </c>
      <c r="G39" vm="328">
        <f ca="1"/>
        <v>110.95</v>
      </c>
      <c r="H39" vm="329">
        <f ca="1"/>
        <v>110.3</v>
      </c>
      <c r="I39" vm="330">
        <f ca="1"/>
        <v>37.700000000000003</v>
      </c>
      <c r="J39" s="27" vm="331">
        <f ca="1"/>
        <v>384.21</v>
      </c>
      <c r="K39" s="5">
        <f t="shared" ca="1" si="1"/>
        <v>-1.1475634782276809E-2</v>
      </c>
      <c r="L39" s="5">
        <f t="shared" ca="1" si="2"/>
        <v>-0.13041911203075576</v>
      </c>
      <c r="M39" s="5">
        <f t="shared" ca="1" si="3"/>
        <v>-8.2653413042301088E-2</v>
      </c>
      <c r="N39" s="5">
        <f t="shared" ca="1" si="4"/>
        <v>-0.11911221125210293</v>
      </c>
      <c r="O39" s="5">
        <f t="shared" ca="1" si="5"/>
        <v>-2.5684497351459296E-2</v>
      </c>
      <c r="P39" s="5">
        <f t="shared" ca="1" si="6"/>
        <v>7.5089691041963771E-3</v>
      </c>
      <c r="Q39" s="5">
        <f t="shared" ca="1" si="7"/>
        <v>-9.3846564959050322E-3</v>
      </c>
      <c r="R39" s="5">
        <f t="shared" ca="1" si="8"/>
        <v>-0.15838573115446994</v>
      </c>
      <c r="S39" s="5">
        <f t="shared" ca="1" si="9"/>
        <v>-6.3307968112464655E-2</v>
      </c>
    </row>
    <row r="40" spans="1:19" ht="15.75" thickBot="1" x14ac:dyDescent="0.3">
      <c r="A40" s="24">
        <v>44927</v>
      </c>
      <c r="B40" vm="332">
        <f ca="1"/>
        <v>89.69</v>
      </c>
      <c r="C40" vm="333">
        <f ca="1"/>
        <v>144.29</v>
      </c>
      <c r="D40" vm="334">
        <f ca="1"/>
        <v>104.94</v>
      </c>
      <c r="E40" vm="335">
        <f ca="1"/>
        <v>108.49</v>
      </c>
      <c r="F40" vm="336">
        <f ca="1"/>
        <v>64.185199999999995</v>
      </c>
      <c r="G40" vm="337">
        <f ca="1"/>
        <v>107.41</v>
      </c>
      <c r="H40" vm="338">
        <f ca="1"/>
        <v>116.01</v>
      </c>
      <c r="I40" vm="339">
        <f ca="1"/>
        <v>48.96</v>
      </c>
      <c r="J40" s="27" vm="340">
        <f ca="1"/>
        <v>408.31</v>
      </c>
      <c r="K40" s="5">
        <f t="shared" ca="1" si="1"/>
        <v>8.5866673145359007E-2</v>
      </c>
      <c r="L40" s="5">
        <f t="shared" ca="1" si="2"/>
        <v>0.1048293194145192</v>
      </c>
      <c r="M40" s="5">
        <f t="shared" ca="1" si="3"/>
        <v>5.3633204971973186E-2</v>
      </c>
      <c r="N40" s="5">
        <f t="shared" ca="1" si="4"/>
        <v>0.22213014664873398</v>
      </c>
      <c r="O40" s="5">
        <f t="shared" ca="1" si="5"/>
        <v>0.2077194247801426</v>
      </c>
      <c r="P40" s="5">
        <f t="shared" ca="1" si="6"/>
        <v>-3.2426361768647362E-2</v>
      </c>
      <c r="Q40" s="5">
        <f t="shared" ca="1" si="7"/>
        <v>5.047246802785877E-2</v>
      </c>
      <c r="R40" s="5">
        <f t="shared" ca="1" si="8"/>
        <v>0.26134354375010554</v>
      </c>
      <c r="S40" s="5">
        <f t="shared" ca="1" si="9"/>
        <v>6.0837411714769481E-2</v>
      </c>
    </row>
    <row r="41" spans="1:19" ht="15.75" thickBot="1" x14ac:dyDescent="0.3">
      <c r="A41" s="24">
        <v>44958</v>
      </c>
      <c r="B41" vm="341">
        <f ca="1"/>
        <v>83.95</v>
      </c>
      <c r="C41" vm="342">
        <f ca="1"/>
        <v>147.41</v>
      </c>
      <c r="D41" vm="343">
        <f ca="1"/>
        <v>100</v>
      </c>
      <c r="E41" vm="344">
        <f ca="1"/>
        <v>99.61</v>
      </c>
      <c r="F41" vm="345">
        <f ca="1"/>
        <v>67.558800000000005</v>
      </c>
      <c r="G41" vm="346">
        <f ca="1"/>
        <v>106.24</v>
      </c>
      <c r="H41" vm="347">
        <f ca="1"/>
        <v>109.91</v>
      </c>
      <c r="I41" vm="348">
        <f ca="1"/>
        <v>51.96</v>
      </c>
      <c r="J41" s="27" vm="349">
        <f ca="1"/>
        <v>397.97</v>
      </c>
      <c r="K41" s="5">
        <f t="shared" ca="1" si="1"/>
        <v>-6.6137896606361865E-2</v>
      </c>
      <c r="L41" s="5">
        <f t="shared" ca="1" si="2"/>
        <v>2.1392656750022429E-2</v>
      </c>
      <c r="M41" s="5">
        <f t="shared" ca="1" si="3"/>
        <v>-4.8218572270474262E-2</v>
      </c>
      <c r="N41" s="5">
        <f t="shared" ca="1" si="4"/>
        <v>-8.5395441677284967E-2</v>
      </c>
      <c r="O41" s="5">
        <f t="shared" ca="1" si="5"/>
        <v>5.1225675267642309E-2</v>
      </c>
      <c r="P41" s="5">
        <f t="shared" ca="1" si="6"/>
        <v>-1.0952601881831957E-2</v>
      </c>
      <c r="Q41" s="5">
        <f t="shared" ca="1" si="7"/>
        <v>-5.401454520650651E-2</v>
      </c>
      <c r="R41" s="5">
        <f t="shared" ca="1" si="8"/>
        <v>5.9470553598328153E-2</v>
      </c>
      <c r="S41" s="5">
        <f t="shared" ca="1" si="9"/>
        <v>-2.5650064261823993E-2</v>
      </c>
    </row>
    <row r="42" spans="1:19" ht="15.75" thickBot="1" x14ac:dyDescent="0.3">
      <c r="A42" s="24">
        <v>44986</v>
      </c>
      <c r="B42" vm="350">
        <f ca="1"/>
        <v>74.930000000000007</v>
      </c>
      <c r="C42" vm="351">
        <f ca="1"/>
        <v>164.9</v>
      </c>
      <c r="D42" vm="352">
        <f ca="1"/>
        <v>82.74</v>
      </c>
      <c r="E42" vm="353">
        <f ca="1"/>
        <v>100.13</v>
      </c>
      <c r="F42" vm="354">
        <f ca="1"/>
        <v>76.243899999999996</v>
      </c>
      <c r="G42" vm="355">
        <f ca="1"/>
        <v>106.39</v>
      </c>
      <c r="H42" vm="356">
        <f ca="1"/>
        <v>109.66</v>
      </c>
      <c r="I42" vm="357">
        <f ca="1"/>
        <v>44.25</v>
      </c>
      <c r="J42" s="27" vm="358">
        <f ca="1"/>
        <v>411.08</v>
      </c>
      <c r="K42" s="5">
        <f t="shared" ca="1" si="1"/>
        <v>-0.11366703914733035</v>
      </c>
      <c r="L42" s="5">
        <f t="shared" ca="1" si="2"/>
        <v>0.11212140950636644</v>
      </c>
      <c r="M42" s="5">
        <f t="shared" ca="1" si="3"/>
        <v>-0.18946702495482604</v>
      </c>
      <c r="N42" s="5">
        <f t="shared" ca="1" si="4"/>
        <v>5.2067805626370431E-3</v>
      </c>
      <c r="O42" s="5">
        <f t="shared" ca="1" si="5"/>
        <v>0.12093908249483966</v>
      </c>
      <c r="P42" s="5">
        <f t="shared" ca="1" si="6"/>
        <v>1.4109018001509216E-3</v>
      </c>
      <c r="Q42" s="5">
        <f t="shared" ca="1" si="7"/>
        <v>-2.2771791049065815E-3</v>
      </c>
      <c r="R42" s="5">
        <f t="shared" ca="1" si="8"/>
        <v>-0.16061882034846026</v>
      </c>
      <c r="S42" s="5">
        <f t="shared" ca="1" si="9"/>
        <v>3.2411217197836843E-2</v>
      </c>
    </row>
    <row r="43" spans="1:19" ht="15.75" thickBot="1" x14ac:dyDescent="0.3">
      <c r="A43" s="24">
        <v>45017</v>
      </c>
      <c r="B43" vm="359">
        <f ca="1"/>
        <v>74.790000000000006</v>
      </c>
      <c r="C43" vm="360">
        <f ca="1"/>
        <v>169.68</v>
      </c>
      <c r="D43" vm="361">
        <f ca="1"/>
        <v>87</v>
      </c>
      <c r="E43" vm="362">
        <f ca="1"/>
        <v>102.5</v>
      </c>
      <c r="F43" vm="363">
        <f ca="1"/>
        <v>78.9315</v>
      </c>
      <c r="G43" vm="364">
        <f ca="1"/>
        <v>115.47</v>
      </c>
      <c r="H43" vm="365">
        <f ca="1"/>
        <v>118.34</v>
      </c>
      <c r="I43" vm="366">
        <f ca="1"/>
        <v>43.8</v>
      </c>
      <c r="J43" s="27" vm="367">
        <f ca="1"/>
        <v>417.66</v>
      </c>
      <c r="K43" s="5">
        <f t="shared" ca="1" si="1"/>
        <v>-1.8701581726431105E-3</v>
      </c>
      <c r="L43" s="5">
        <f t="shared" ca="1" si="2"/>
        <v>2.8575080690873691E-2</v>
      </c>
      <c r="M43" s="5">
        <f t="shared" ca="1" si="3"/>
        <v>5.0204957621318373E-2</v>
      </c>
      <c r="N43" s="5">
        <f t="shared" ca="1" si="4"/>
        <v>2.3393456858751598E-2</v>
      </c>
      <c r="O43" s="5">
        <f t="shared" ca="1" si="5"/>
        <v>3.4642975433303372E-2</v>
      </c>
      <c r="P43" s="5">
        <f t="shared" ca="1" si="6"/>
        <v>8.1899168435489736E-2</v>
      </c>
      <c r="Q43" s="5">
        <f t="shared" ca="1" si="7"/>
        <v>7.6177167272645688E-2</v>
      </c>
      <c r="R43" s="5">
        <f t="shared" ca="1" si="8"/>
        <v>-1.0221554071538139E-2</v>
      </c>
      <c r="S43" s="5">
        <f t="shared" ca="1" si="9"/>
        <v>1.5879861651757834E-2</v>
      </c>
    </row>
    <row r="44" spans="1:19" ht="15.75" thickBot="1" x14ac:dyDescent="0.3">
      <c r="A44" s="24">
        <v>45047</v>
      </c>
      <c r="B44" vm="368">
        <f ca="1"/>
        <v>70.11</v>
      </c>
      <c r="C44" vm="369">
        <f ca="1"/>
        <v>177.25</v>
      </c>
      <c r="D44" vm="370">
        <f ca="1"/>
        <v>78.69</v>
      </c>
      <c r="E44" vm="371">
        <f ca="1"/>
        <v>87.96</v>
      </c>
      <c r="F44" vm="372">
        <f ca="1"/>
        <v>80.973200000000006</v>
      </c>
      <c r="G44" vm="373">
        <f ca="1"/>
        <v>110.41</v>
      </c>
      <c r="H44" vm="374">
        <f ca="1"/>
        <v>102.18</v>
      </c>
      <c r="I44" vm="375">
        <f ca="1"/>
        <v>47.465000000000003</v>
      </c>
      <c r="J44" s="27" vm="376">
        <f ca="1"/>
        <v>419.43</v>
      </c>
      <c r="K44" s="5">
        <f t="shared" ca="1" si="1"/>
        <v>-6.4618748984700006E-2</v>
      </c>
      <c r="L44" s="5">
        <f t="shared" ca="1" si="2"/>
        <v>4.3646855155809787E-2</v>
      </c>
      <c r="M44" s="5">
        <f t="shared" ca="1" si="3"/>
        <v>-0.10039203610769178</v>
      </c>
      <c r="N44" s="5">
        <f t="shared" ca="1" si="4"/>
        <v>-0.15298063289190245</v>
      </c>
      <c r="O44" s="5">
        <f t="shared" ca="1" si="5"/>
        <v>2.5537848006619391E-2</v>
      </c>
      <c r="P44" s="5">
        <f t="shared" ca="1" si="6"/>
        <v>-4.481004651271879E-2</v>
      </c>
      <c r="Q44" s="5">
        <f t="shared" ca="1" si="7"/>
        <v>-0.14682587334589603</v>
      </c>
      <c r="R44" s="5">
        <f t="shared" ca="1" si="8"/>
        <v>8.0358779951361411E-2</v>
      </c>
      <c r="S44" s="5">
        <f t="shared" ca="1" si="9"/>
        <v>4.2289422592128138E-3</v>
      </c>
    </row>
    <row r="45" spans="1:19" ht="15.75" thickBot="1" x14ac:dyDescent="0.3">
      <c r="A45" s="24">
        <v>45078</v>
      </c>
      <c r="B45" vm="377">
        <f ca="1"/>
        <v>73.83</v>
      </c>
      <c r="C45" vm="378">
        <f ca="1"/>
        <v>193.97</v>
      </c>
      <c r="D45" vm="379">
        <f ca="1"/>
        <v>88.22</v>
      </c>
      <c r="E45" vm="380">
        <f ca="1"/>
        <v>89.28</v>
      </c>
      <c r="F45" vm="381">
        <f ca="1"/>
        <v>87.608699999999999</v>
      </c>
      <c r="G45" vm="382">
        <f ca="1"/>
        <v>115.39</v>
      </c>
      <c r="H45" vm="383">
        <f ca="1"/>
        <v>107.25</v>
      </c>
      <c r="I45" vm="384">
        <f ca="1"/>
        <v>54.87</v>
      </c>
      <c r="J45" s="27" vm="385">
        <f ca="1"/>
        <v>445.71</v>
      </c>
      <c r="K45" s="5">
        <f t="shared" ca="1" si="1"/>
        <v>5.1699715852197986E-2</v>
      </c>
      <c r="L45" s="5">
        <f t="shared" ca="1" si="2"/>
        <v>9.0142342517963436E-2</v>
      </c>
      <c r="M45" s="5">
        <f t="shared" ca="1" si="3"/>
        <v>0.11431761212990178</v>
      </c>
      <c r="N45" s="5">
        <f t="shared" ca="1" si="4"/>
        <v>1.4895332946440552E-2</v>
      </c>
      <c r="O45" s="5">
        <f t="shared" ca="1" si="5"/>
        <v>7.8762072352150991E-2</v>
      </c>
      <c r="P45" s="5">
        <f t="shared" ca="1" si="6"/>
        <v>4.4116985755530858E-2</v>
      </c>
      <c r="Q45" s="5">
        <f t="shared" ca="1" si="7"/>
        <v>4.8426593905474463E-2</v>
      </c>
      <c r="R45" s="5">
        <f t="shared" ca="1" si="8"/>
        <v>0.14497415373712214</v>
      </c>
      <c r="S45" s="5">
        <f t="shared" ca="1" si="9"/>
        <v>6.0771869649528194E-2</v>
      </c>
    </row>
    <row r="46" spans="1:19" ht="15.75" thickBot="1" x14ac:dyDescent="0.3">
      <c r="A46" s="24">
        <v>45108</v>
      </c>
      <c r="B46" vm="386">
        <f ca="1"/>
        <v>82.7</v>
      </c>
      <c r="C46" vm="387">
        <f ca="1"/>
        <v>196.45</v>
      </c>
      <c r="D46" vm="388">
        <f ca="1"/>
        <v>96.49</v>
      </c>
      <c r="E46" vm="389">
        <f ca="1"/>
        <v>88.89</v>
      </c>
      <c r="F46" vm="390">
        <f ca="1"/>
        <v>91.109800000000007</v>
      </c>
      <c r="G46" vm="391">
        <f ca="1"/>
        <v>106.65</v>
      </c>
      <c r="H46" vm="392">
        <f ca="1"/>
        <v>107.24</v>
      </c>
      <c r="I46" vm="393">
        <f ca="1"/>
        <v>54.31</v>
      </c>
      <c r="J46" s="27" vm="394">
        <f ca="1"/>
        <v>460.18</v>
      </c>
      <c r="K46" s="5">
        <f t="shared" ca="1" si="1"/>
        <v>0.11345444895857144</v>
      </c>
      <c r="L46" s="5">
        <f t="shared" ca="1" si="2"/>
        <v>1.2704438074268271E-2</v>
      </c>
      <c r="M46" s="5">
        <f t="shared" ca="1" si="3"/>
        <v>8.9605681355498706E-2</v>
      </c>
      <c r="N46" s="5">
        <f t="shared" ca="1" si="4"/>
        <v>-4.3778483794172669E-3</v>
      </c>
      <c r="O46" s="5">
        <f t="shared" ca="1" si="5"/>
        <v>3.9185064495212439E-2</v>
      </c>
      <c r="P46" s="5">
        <f t="shared" ca="1" si="6"/>
        <v>-7.8765250289216701E-2</v>
      </c>
      <c r="Q46" s="5">
        <f t="shared" ca="1" si="7"/>
        <v>-9.3244440367901328E-5</v>
      </c>
      <c r="R46" s="5">
        <f t="shared" ca="1" si="8"/>
        <v>-1.0258379024129974E-2</v>
      </c>
      <c r="S46" s="5">
        <f t="shared" ca="1" si="9"/>
        <v>3.1949200974015553E-2</v>
      </c>
    </row>
    <row r="47" spans="1:19" ht="15.75" thickBot="1" x14ac:dyDescent="0.3">
      <c r="A47" s="24">
        <v>45139</v>
      </c>
      <c r="B47" vm="395">
        <f ca="1"/>
        <v>75.7</v>
      </c>
      <c r="C47" vm="396">
        <f ca="1"/>
        <v>187.87</v>
      </c>
      <c r="D47" vm="63">
        <f ca="1"/>
        <v>94.67</v>
      </c>
      <c r="E47" vm="397">
        <f ca="1"/>
        <v>83.68</v>
      </c>
      <c r="F47" vm="398">
        <f ca="1"/>
        <v>91.285300000000007</v>
      </c>
      <c r="G47" vm="399">
        <f ca="1"/>
        <v>108.98</v>
      </c>
      <c r="H47" vm="400">
        <f ca="1"/>
        <v>111.19</v>
      </c>
      <c r="I47" vm="401">
        <f ca="1"/>
        <v>49.81</v>
      </c>
      <c r="J47" s="27" vm="402">
        <f ca="1"/>
        <v>452.69</v>
      </c>
      <c r="K47" s="5">
        <f t="shared" ca="1" si="1"/>
        <v>-8.8441441586242522E-2</v>
      </c>
      <c r="L47" s="5">
        <f t="shared" ca="1" si="2"/>
        <v>-4.4657711725261062E-2</v>
      </c>
      <c r="M47" s="5">
        <f t="shared" ca="1" si="3"/>
        <v>-1.904221589149252E-2</v>
      </c>
      <c r="N47" s="5">
        <f t="shared" ca="1" si="4"/>
        <v>-6.0399649936970778E-2</v>
      </c>
      <c r="O47" s="5">
        <f t="shared" ca="1" si="5"/>
        <v>1.9243943961287059E-3</v>
      </c>
      <c r="P47" s="5">
        <f t="shared" ca="1" si="6"/>
        <v>2.1611934237592792E-2</v>
      </c>
      <c r="Q47" s="5">
        <f t="shared" ca="1" si="7"/>
        <v>3.6171136347399289E-2</v>
      </c>
      <c r="R47" s="5">
        <f t="shared" ca="1" si="8"/>
        <v>-8.6492604961561831E-2</v>
      </c>
      <c r="S47" s="5">
        <f t="shared" ca="1" si="9"/>
        <v>-1.641015277757191E-2</v>
      </c>
    </row>
    <row r="48" spans="1:19" ht="15.75" thickBot="1" x14ac:dyDescent="0.3">
      <c r="A48" s="24">
        <v>45170</v>
      </c>
      <c r="B48" vm="403">
        <f ca="1"/>
        <v>68.22</v>
      </c>
      <c r="C48" vm="404">
        <f ca="1"/>
        <v>171.21</v>
      </c>
      <c r="D48" vm="405">
        <f ca="1"/>
        <v>94.89</v>
      </c>
      <c r="E48" vm="406">
        <f ca="1"/>
        <v>81.05</v>
      </c>
      <c r="F48" vm="407">
        <f ca="1"/>
        <v>88.166899999999998</v>
      </c>
      <c r="G48" vm="408">
        <f ca="1"/>
        <v>102.95</v>
      </c>
      <c r="H48" vm="409">
        <f ca="1"/>
        <v>117.58</v>
      </c>
      <c r="I48" vm="410">
        <f ca="1"/>
        <v>42.3</v>
      </c>
      <c r="J48" s="27" vm="411">
        <f ca="1"/>
        <v>429.43</v>
      </c>
      <c r="K48" s="5">
        <f t="shared" ca="1" si="1"/>
        <v>-0.10404038345290346</v>
      </c>
      <c r="L48" s="5">
        <f t="shared" ca="1" si="2"/>
        <v>-9.2859361062481216E-2</v>
      </c>
      <c r="M48" s="5">
        <f t="shared" ca="1" si="3"/>
        <v>2.3211658448672231E-3</v>
      </c>
      <c r="N48" s="5">
        <f t="shared" ca="1" si="4"/>
        <v>-3.1933752134927829E-2</v>
      </c>
      <c r="O48" s="5">
        <f t="shared" ca="1" si="5"/>
        <v>-3.4758157841187243E-2</v>
      </c>
      <c r="P48" s="5">
        <f t="shared" ca="1" si="6"/>
        <v>-5.6920945681153801E-2</v>
      </c>
      <c r="Q48" s="5">
        <f t="shared" ca="1" si="7"/>
        <v>5.5878503258951009E-2</v>
      </c>
      <c r="R48" s="5">
        <f t="shared" ca="1" si="8"/>
        <v>-0.16342868103295979</v>
      </c>
      <c r="S48" s="5">
        <f t="shared" ca="1" si="9"/>
        <v>-5.2748816581768214E-2</v>
      </c>
    </row>
    <row r="49" spans="1:19" ht="15.75" thickBot="1" x14ac:dyDescent="0.3">
      <c r="A49" s="24">
        <v>45200</v>
      </c>
      <c r="B49" vm="412">
        <f ca="1"/>
        <v>65.02</v>
      </c>
      <c r="C49" vm="413">
        <f ca="1"/>
        <v>170.77</v>
      </c>
      <c r="D49" vm="414">
        <f ca="1"/>
        <v>91.44</v>
      </c>
      <c r="E49" vm="415">
        <f ca="1"/>
        <v>81.59</v>
      </c>
      <c r="F49" vm="416">
        <f ca="1"/>
        <v>86.6357</v>
      </c>
      <c r="G49" vm="417">
        <f ca="1"/>
        <v>102.7</v>
      </c>
      <c r="H49" vm="418">
        <f ca="1"/>
        <v>105.85</v>
      </c>
      <c r="I49" vm="294">
        <f ca="1"/>
        <v>35.01</v>
      </c>
      <c r="J49" s="27" vm="419">
        <f ca="1"/>
        <v>419.94</v>
      </c>
      <c r="K49" s="5">
        <f t="shared" ca="1" si="1"/>
        <v>-4.8042862114740424E-2</v>
      </c>
      <c r="L49" s="5">
        <f t="shared" ca="1" si="2"/>
        <v>-2.5732513175787818E-3</v>
      </c>
      <c r="M49" s="5">
        <f t="shared" ca="1" si="3"/>
        <v>-3.7035306499112006E-2</v>
      </c>
      <c r="N49" s="5">
        <f t="shared" ca="1" si="4"/>
        <v>6.6404572590236946E-3</v>
      </c>
      <c r="O49" s="5">
        <f t="shared" ca="1" si="5"/>
        <v>-1.7519638324070861E-2</v>
      </c>
      <c r="P49" s="5">
        <f t="shared" ca="1" si="6"/>
        <v>-2.4313165392858558E-3</v>
      </c>
      <c r="Q49" s="5">
        <f t="shared" ca="1" si="7"/>
        <v>-0.10509595539323481</v>
      </c>
      <c r="R49" s="5">
        <f t="shared" ca="1" si="8"/>
        <v>-0.18915335108565795</v>
      </c>
      <c r="S49" s="5">
        <f t="shared" ca="1" si="9"/>
        <v>-2.2346904002543255E-2</v>
      </c>
    </row>
    <row r="50" spans="1:19" ht="15.75" thickBot="1" x14ac:dyDescent="0.3">
      <c r="A50" s="24">
        <v>45231</v>
      </c>
      <c r="B50" vm="420">
        <f ca="1"/>
        <v>65.239999999999995</v>
      </c>
      <c r="C50" vm="421">
        <f ca="1"/>
        <v>189.95</v>
      </c>
      <c r="D50" vm="422">
        <f ca="1"/>
        <v>97.78</v>
      </c>
      <c r="E50" vm="423">
        <f ca="1"/>
        <v>92.69</v>
      </c>
      <c r="F50" vm="424">
        <f ca="1"/>
        <v>97.139200000000002</v>
      </c>
      <c r="G50" vm="425">
        <f ca="1"/>
        <v>102.48</v>
      </c>
      <c r="H50" vm="426">
        <f ca="1"/>
        <v>102.74</v>
      </c>
      <c r="I50" vm="427">
        <f ca="1"/>
        <v>39.4</v>
      </c>
      <c r="J50" s="27" vm="428">
        <f ca="1"/>
        <v>458.42</v>
      </c>
      <c r="K50" s="5">
        <f t="shared" ca="1" si="1"/>
        <v>3.3778628770537813E-3</v>
      </c>
      <c r="L50" s="5">
        <f t="shared" ca="1" si="2"/>
        <v>0.10644325773448686</v>
      </c>
      <c r="M50" s="5">
        <f t="shared" ca="1" si="3"/>
        <v>6.7037037663944282E-2</v>
      </c>
      <c r="N50" s="5">
        <f t="shared" ca="1" si="4"/>
        <v>0.1275538864470325</v>
      </c>
      <c r="O50" s="5">
        <f t="shared" ca="1" si="5"/>
        <v>0.11443303054184013</v>
      </c>
      <c r="P50" s="5">
        <f t="shared" ca="1" si="6"/>
        <v>-2.1444593460336922E-3</v>
      </c>
      <c r="Q50" s="5">
        <f t="shared" ca="1" si="7"/>
        <v>-2.9821472541752349E-2</v>
      </c>
      <c r="R50" s="5">
        <f t="shared" ca="1" si="8"/>
        <v>0.11813208133731389</v>
      </c>
      <c r="S50" s="5">
        <f t="shared" ca="1" si="9"/>
        <v>8.7673950536716935E-2</v>
      </c>
    </row>
    <row r="51" spans="1:19" ht="15.75" thickBot="1" x14ac:dyDescent="0.3">
      <c r="A51" s="24">
        <v>45261</v>
      </c>
      <c r="B51" vm="429">
        <f ca="1"/>
        <v>76.23</v>
      </c>
      <c r="C51" vm="430">
        <f ca="1"/>
        <v>192.53</v>
      </c>
      <c r="D51" vm="431">
        <f ca="1"/>
        <v>103.71</v>
      </c>
      <c r="E51" vm="432">
        <f ca="1"/>
        <v>90.29</v>
      </c>
      <c r="F51" vm="433">
        <f ca="1"/>
        <v>101.78879999999999</v>
      </c>
      <c r="G51" vm="434">
        <f ca="1"/>
        <v>109.02</v>
      </c>
      <c r="H51" vm="435">
        <f ca="1"/>
        <v>99.98</v>
      </c>
      <c r="I51" vm="436">
        <f ca="1"/>
        <v>41.26</v>
      </c>
      <c r="J51" s="27" vm="437">
        <f ca="1"/>
        <v>477.63</v>
      </c>
      <c r="K51" s="5">
        <f t="shared" ca="1" si="1"/>
        <v>0.15568230824736939</v>
      </c>
      <c r="L51" s="5">
        <f t="shared" ca="1" si="2"/>
        <v>1.3491106107609537E-2</v>
      </c>
      <c r="M51" s="5">
        <f t="shared" ca="1" si="3"/>
        <v>5.8878485451143214E-2</v>
      </c>
      <c r="N51" s="5">
        <f t="shared" ca="1" si="4"/>
        <v>-2.6233879568353387E-2</v>
      </c>
      <c r="O51" s="5">
        <f t="shared" ca="1" si="5"/>
        <v>4.6755077070104498E-2</v>
      </c>
      <c r="P51" s="5">
        <f t="shared" ca="1" si="6"/>
        <v>6.1863694047655925E-2</v>
      </c>
      <c r="Q51" s="5">
        <f t="shared" ca="1" si="7"/>
        <v>-2.7231359053697352E-2</v>
      </c>
      <c r="R51" s="5">
        <f t="shared" ca="1" si="8"/>
        <v>4.6127691339217652E-2</v>
      </c>
      <c r="S51" s="5">
        <f t="shared" ca="1" si="9"/>
        <v>4.1050579709802706E-2</v>
      </c>
    </row>
    <row r="52" spans="1:19" ht="15.75" thickBot="1" x14ac:dyDescent="0.3">
      <c r="A52" s="24">
        <v>45292</v>
      </c>
      <c r="B52" vm="438">
        <f ca="1"/>
        <v>73.48</v>
      </c>
      <c r="C52" vm="439">
        <f ca="1"/>
        <v>184.4</v>
      </c>
      <c r="D52" vm="440">
        <f ca="1"/>
        <v>104.93</v>
      </c>
      <c r="E52" vm="441">
        <f ca="1"/>
        <v>96.05</v>
      </c>
      <c r="F52" vm="442">
        <f ca="1"/>
        <v>105.60890000000001</v>
      </c>
      <c r="G52" vm="443">
        <f ca="1"/>
        <v>120.78</v>
      </c>
      <c r="H52" vm="444">
        <f ca="1"/>
        <v>102.81</v>
      </c>
      <c r="I52" vm="445">
        <f ca="1"/>
        <v>41.38</v>
      </c>
      <c r="J52" s="27" vm="446">
        <f ca="1"/>
        <v>485.2</v>
      </c>
      <c r="K52" s="5">
        <f t="shared" ca="1" si="1"/>
        <v>-3.6741825653257468E-2</v>
      </c>
      <c r="L52" s="5">
        <f t="shared" ca="1" si="2"/>
        <v>-4.3144674618750656E-2</v>
      </c>
      <c r="M52" s="5">
        <f t="shared" ca="1" si="3"/>
        <v>1.1694918568176876E-2</v>
      </c>
      <c r="N52" s="5">
        <f t="shared" ca="1" si="4"/>
        <v>6.184217689517775E-2</v>
      </c>
      <c r="O52" s="5">
        <f t="shared" ca="1" si="5"/>
        <v>3.6842569606354632E-2</v>
      </c>
      <c r="P52" s="5">
        <f t="shared" ca="1" si="6"/>
        <v>0.1024393572436203</v>
      </c>
      <c r="Q52" s="5">
        <f t="shared" ca="1" si="7"/>
        <v>2.7912458569202735E-2</v>
      </c>
      <c r="R52" s="5">
        <f t="shared" ca="1" si="8"/>
        <v>2.9041646742912785E-3</v>
      </c>
      <c r="S52" s="5">
        <f t="shared" ca="1" si="9"/>
        <v>1.5724802893872111E-2</v>
      </c>
    </row>
    <row r="53" spans="1:19" ht="15.75" thickBot="1" x14ac:dyDescent="0.3">
      <c r="A53" s="24">
        <v>45323</v>
      </c>
      <c r="B53" vm="447">
        <f ca="1"/>
        <v>71.89</v>
      </c>
      <c r="C53" vm="448">
        <f ca="1"/>
        <v>180.75</v>
      </c>
      <c r="D53" vm="449">
        <f ca="1"/>
        <v>108.99</v>
      </c>
      <c r="E53" vm="450">
        <f ca="1"/>
        <v>111.58</v>
      </c>
      <c r="F53" vm="451">
        <f ca="1"/>
        <v>125.1245</v>
      </c>
      <c r="G53" vm="452">
        <f ca="1"/>
        <v>127.15</v>
      </c>
      <c r="H53" vm="453">
        <f ca="1"/>
        <v>104.52</v>
      </c>
      <c r="I53" vm="454">
        <f ca="1"/>
        <v>45.49</v>
      </c>
      <c r="J53" s="27" vm="455">
        <f ca="1"/>
        <v>510.45</v>
      </c>
      <c r="K53" s="5">
        <f t="shared" ca="1" si="1"/>
        <v>-2.1876087351144727E-2</v>
      </c>
      <c r="L53" s="5">
        <f t="shared" ca="1" si="2"/>
        <v>-1.9992450083619367E-2</v>
      </c>
      <c r="M53" s="5">
        <f t="shared" ca="1" si="3"/>
        <v>3.7962673731400533E-2</v>
      </c>
      <c r="N53" s="5">
        <f t="shared" ca="1" si="4"/>
        <v>0.14987293320281658</v>
      </c>
      <c r="O53" s="5">
        <f t="shared" ca="1" si="5"/>
        <v>0.16956659359959833</v>
      </c>
      <c r="P53" s="5">
        <f t="shared" ca="1" si="6"/>
        <v>5.1396782988373635E-2</v>
      </c>
      <c r="Q53" s="5">
        <f t="shared" ca="1" si="7"/>
        <v>1.6495816097784593E-2</v>
      </c>
      <c r="R53" s="5">
        <f t="shared" ca="1" si="8"/>
        <v>9.4694849264515768E-2</v>
      </c>
      <c r="S53" s="5">
        <f t="shared" ca="1" si="9"/>
        <v>5.0731512545129288E-2</v>
      </c>
    </row>
    <row r="54" spans="1:19" ht="15.75" thickBot="1" x14ac:dyDescent="0.3">
      <c r="A54" s="24">
        <v>45352</v>
      </c>
      <c r="B54" vm="456">
        <f ca="1"/>
        <v>66.599999999999994</v>
      </c>
      <c r="C54" vm="457">
        <f ca="1"/>
        <v>171.48</v>
      </c>
      <c r="D54" vm="458">
        <f ca="1"/>
        <v>117.4</v>
      </c>
      <c r="E54" vm="459">
        <f ca="1"/>
        <v>122.36</v>
      </c>
      <c r="F54" vm="460">
        <f ca="1"/>
        <v>139.99039999999999</v>
      </c>
      <c r="G54" vm="461">
        <f ca="1"/>
        <v>131.94999999999999</v>
      </c>
      <c r="H54" vm="462">
        <f ca="1"/>
        <v>116.24</v>
      </c>
      <c r="I54" vm="463">
        <f ca="1"/>
        <v>47.88</v>
      </c>
      <c r="J54" s="27" vm="464">
        <f ca="1"/>
        <v>525.73</v>
      </c>
      <c r="K54" s="5">
        <f t="shared" ca="1" si="1"/>
        <v>-7.6432595449436785E-2</v>
      </c>
      <c r="L54" s="5">
        <f t="shared" ca="1" si="2"/>
        <v>-5.2648219309097806E-2</v>
      </c>
      <c r="M54" s="5">
        <f t="shared" ca="1" si="3"/>
        <v>7.4330772492775962E-2</v>
      </c>
      <c r="N54" s="5">
        <f t="shared" ca="1" si="4"/>
        <v>9.2225696865320478E-2</v>
      </c>
      <c r="O54" s="5">
        <f t="shared" ca="1" si="5"/>
        <v>0.11226460720620027</v>
      </c>
      <c r="P54" s="5">
        <f t="shared" ca="1" si="6"/>
        <v>3.7055571081204407E-2</v>
      </c>
      <c r="Q54" s="5">
        <f t="shared" ca="1" si="7"/>
        <v>0.1062785786096158</v>
      </c>
      <c r="R54" s="5">
        <f t="shared" ca="1" si="8"/>
        <v>5.1205359107859671E-2</v>
      </c>
      <c r="S54" s="5">
        <f t="shared" ca="1" si="9"/>
        <v>2.949508335025066E-2</v>
      </c>
    </row>
    <row r="55" spans="1:19" ht="15.75" thickBot="1" x14ac:dyDescent="0.3">
      <c r="A55" s="24">
        <v>45383</v>
      </c>
      <c r="B55" vm="465">
        <f ca="1"/>
        <v>61.69</v>
      </c>
      <c r="C55" vm="466">
        <f ca="1"/>
        <v>170.33</v>
      </c>
      <c r="D55" vm="467">
        <f ca="1"/>
        <v>110.48</v>
      </c>
      <c r="E55" vm="468">
        <f ca="1"/>
        <v>111.1</v>
      </c>
      <c r="F55" vm="469">
        <f ca="1"/>
        <v>161.82</v>
      </c>
      <c r="G55" vm="470">
        <f ca="1"/>
        <v>129.22</v>
      </c>
      <c r="H55" vm="471">
        <f ca="1"/>
        <v>118.27</v>
      </c>
      <c r="I55" vm="472">
        <f ca="1"/>
        <v>51.46</v>
      </c>
      <c r="J55" s="27" vm="473">
        <f ca="1"/>
        <v>504.44</v>
      </c>
      <c r="K55" s="5">
        <f t="shared" ca="1" si="1"/>
        <v>-7.6582734324796162E-2</v>
      </c>
      <c r="L55" s="5">
        <f t="shared" ca="1" si="2"/>
        <v>-6.7289098572903012E-3</v>
      </c>
      <c r="M55" s="5">
        <f t="shared" ca="1" si="3"/>
        <v>-6.075239829295942E-2</v>
      </c>
      <c r="N55" s="5">
        <f t="shared" ca="1" si="4"/>
        <v>-9.6536822637118408E-2</v>
      </c>
      <c r="O55" s="5">
        <f t="shared" ca="1" si="5"/>
        <v>0.14491075755008861</v>
      </c>
      <c r="P55" s="5">
        <f t="shared" ca="1" si="6"/>
        <v>-2.0906684819313601E-2</v>
      </c>
      <c r="Q55" s="5">
        <f t="shared" ca="1" si="7"/>
        <v>1.7313127000998078E-2</v>
      </c>
      <c r="R55" s="5">
        <f t="shared" ca="1" si="8"/>
        <v>7.2106926163825677E-2</v>
      </c>
      <c r="S55" s="5">
        <f t="shared" ca="1" si="9"/>
        <v>-4.1338869877601256E-2</v>
      </c>
    </row>
    <row r="56" spans="1:19" ht="15.75" thickBot="1" x14ac:dyDescent="0.3">
      <c r="A56" s="24">
        <v>45413</v>
      </c>
      <c r="B56" vm="474">
        <f ca="1"/>
        <v>46.46</v>
      </c>
      <c r="C56" vm="475">
        <f ca="1"/>
        <v>192.25</v>
      </c>
      <c r="D56" vm="476">
        <f ca="1"/>
        <v>120.35</v>
      </c>
      <c r="E56" vm="477">
        <f ca="1"/>
        <v>103.91</v>
      </c>
      <c r="F56" vm="478">
        <f ca="1"/>
        <v>165.14</v>
      </c>
      <c r="G56" vm="479">
        <f ca="1"/>
        <v>125.54</v>
      </c>
      <c r="H56" vm="480">
        <f ca="1"/>
        <v>117.26</v>
      </c>
      <c r="I56" vm="481">
        <f ca="1"/>
        <v>52.99</v>
      </c>
      <c r="J56" s="27" vm="482">
        <f ca="1"/>
        <v>529.96</v>
      </c>
      <c r="K56" s="5">
        <f t="shared" ca="1" si="1"/>
        <v>-0.28353011587928417</v>
      </c>
      <c r="L56" s="5">
        <f t="shared" ca="1" si="2"/>
        <v>0.12105887651326751</v>
      </c>
      <c r="M56" s="5">
        <f t="shared" ca="1" si="3"/>
        <v>8.5569655128044264E-2</v>
      </c>
      <c r="N56" s="5">
        <f t="shared" ca="1" si="4"/>
        <v>-6.6905556781028885E-2</v>
      </c>
      <c r="O56" s="5">
        <f t="shared" ca="1" si="5"/>
        <v>2.0308992609588895E-2</v>
      </c>
      <c r="P56" s="5">
        <f t="shared" ca="1" si="6"/>
        <v>-2.8891945240633699E-2</v>
      </c>
      <c r="Q56" s="5">
        <f t="shared" ca="1" si="7"/>
        <v>-8.5764547269564298E-3</v>
      </c>
      <c r="R56" s="5">
        <f t="shared" ca="1" si="8"/>
        <v>2.9298409651072704E-2</v>
      </c>
      <c r="S56" s="5">
        <f t="shared" ca="1" si="9"/>
        <v>4.9352628912248675E-2</v>
      </c>
    </row>
    <row r="57" spans="1:19" ht="15.75" thickBot="1" x14ac:dyDescent="0.3">
      <c r="A57" s="24">
        <v>45444</v>
      </c>
      <c r="B57" vm="483">
        <f ca="1"/>
        <v>46.98</v>
      </c>
      <c r="C57" vm="484">
        <f ca="1"/>
        <v>210.62</v>
      </c>
      <c r="D57" vm="485">
        <f ca="1"/>
        <v>117.19</v>
      </c>
      <c r="E57" vm="486">
        <f ca="1"/>
        <v>99.29</v>
      </c>
      <c r="F57" vm="487">
        <f ca="1"/>
        <v>158.97</v>
      </c>
      <c r="G57" vm="488">
        <f ca="1"/>
        <v>123.8</v>
      </c>
      <c r="H57" vm="489">
        <f ca="1"/>
        <v>115.12</v>
      </c>
      <c r="I57" vm="490">
        <f ca="1"/>
        <v>48.66</v>
      </c>
      <c r="J57" s="27" vm="491">
        <f ca="1"/>
        <v>547.23</v>
      </c>
      <c r="K57" s="5">
        <f t="shared" ca="1" si="1"/>
        <v>1.1130251888503565E-2</v>
      </c>
      <c r="L57" s="5">
        <f t="shared" ca="1" si="2"/>
        <v>9.1258953566697706E-2</v>
      </c>
      <c r="M57" s="5">
        <f t="shared" ca="1" si="3"/>
        <v>-2.6607614958569985E-2</v>
      </c>
      <c r="N57" s="5">
        <f t="shared" ca="1" si="4"/>
        <v>-4.548027881905254E-2</v>
      </c>
      <c r="O57" s="5">
        <f t="shared" ca="1" si="5"/>
        <v>-3.8078093816502033E-2</v>
      </c>
      <c r="P57" s="5">
        <f t="shared" ca="1" si="6"/>
        <v>-1.3957072638890065E-2</v>
      </c>
      <c r="Q57" s="5">
        <f t="shared" ca="1" si="7"/>
        <v>-1.8418628956956618E-2</v>
      </c>
      <c r="R57" s="5">
        <f t="shared" ca="1" si="8"/>
        <v>-8.5245879149294324E-2</v>
      </c>
      <c r="S57" s="5">
        <f t="shared" ca="1" si="9"/>
        <v>3.2067657367010456E-2</v>
      </c>
    </row>
    <row r="58" spans="1:19" ht="15.75" thickBot="1" x14ac:dyDescent="0.3">
      <c r="A58" s="24">
        <v>45474</v>
      </c>
      <c r="B58" vm="492">
        <f ca="1"/>
        <v>44.23</v>
      </c>
      <c r="C58" vm="493">
        <f ca="1"/>
        <v>222.08</v>
      </c>
      <c r="D58" vm="494">
        <f ca="1"/>
        <v>125.32</v>
      </c>
      <c r="E58" vm="495">
        <f ca="1"/>
        <v>93.69</v>
      </c>
      <c r="F58" vm="496">
        <f ca="1"/>
        <v>170.2</v>
      </c>
      <c r="G58" vm="497">
        <f ca="1"/>
        <v>113.13</v>
      </c>
      <c r="H58" vm="498">
        <f ca="1"/>
        <v>118.59</v>
      </c>
      <c r="I58" vm="499">
        <f ca="1"/>
        <v>45.42</v>
      </c>
      <c r="J58" s="27" vm="500">
        <f ca="1"/>
        <v>553.32000000000005</v>
      </c>
      <c r="K58" s="5">
        <f t="shared" ca="1" si="1"/>
        <v>-6.0318687350531329E-2</v>
      </c>
      <c r="L58" s="5">
        <f t="shared" ca="1" si="2"/>
        <v>5.298211536598859E-2</v>
      </c>
      <c r="M58" s="5">
        <f t="shared" ca="1" si="3"/>
        <v>6.7073916813480031E-2</v>
      </c>
      <c r="N58" s="5">
        <f t="shared" ca="1" si="4"/>
        <v>-5.8053401082405913E-2</v>
      </c>
      <c r="O58" s="5">
        <f t="shared" ca="1" si="5"/>
        <v>6.8258710966493358E-2</v>
      </c>
      <c r="P58" s="5">
        <f t="shared" ca="1" si="6"/>
        <v>-9.0129760312120347E-2</v>
      </c>
      <c r="Q58" s="5">
        <f t="shared" ca="1" si="7"/>
        <v>2.9697103397591355E-2</v>
      </c>
      <c r="R58" s="5">
        <f t="shared" ca="1" si="8"/>
        <v>-6.8904800677964034E-2</v>
      </c>
      <c r="S58" s="5">
        <f t="shared" ca="1" si="9"/>
        <v>1.1067306639681753E-2</v>
      </c>
    </row>
    <row r="59" spans="1:19" ht="15.75" thickBot="1" x14ac:dyDescent="0.3">
      <c r="A59" s="24">
        <v>45505</v>
      </c>
      <c r="B59" vm="501">
        <f ca="1"/>
        <v>47.37</v>
      </c>
      <c r="C59" vm="502">
        <f ca="1"/>
        <v>229</v>
      </c>
      <c r="D59" vm="503">
        <f ca="1"/>
        <v>121.16</v>
      </c>
      <c r="E59" vm="504">
        <f ca="1"/>
        <v>90.38</v>
      </c>
      <c r="F59" vm="505">
        <f ca="1"/>
        <v>174.62</v>
      </c>
      <c r="G59" vm="506">
        <f ca="1"/>
        <v>118.45</v>
      </c>
      <c r="H59" vm="507">
        <f ca="1"/>
        <v>117.94</v>
      </c>
      <c r="I59" vm="508">
        <f ca="1"/>
        <v>44.04</v>
      </c>
      <c r="J59" s="27" vm="509">
        <f ca="1"/>
        <v>566.75</v>
      </c>
      <c r="K59" s="5">
        <f t="shared" ca="1" si="1"/>
        <v>6.8585825055425001E-2</v>
      </c>
      <c r="L59" s="5">
        <f t="shared" ca="1" si="2"/>
        <v>3.0684326235799947E-2</v>
      </c>
      <c r="M59" s="5">
        <f t="shared" ca="1" si="3"/>
        <v>-3.375847992495442E-2</v>
      </c>
      <c r="N59" s="5">
        <f t="shared" ca="1" si="4"/>
        <v>-3.5968455979963246E-2</v>
      </c>
      <c r="O59" s="5">
        <f t="shared" ca="1" si="5"/>
        <v>2.5637968243388026E-2</v>
      </c>
      <c r="P59" s="5">
        <f t="shared" ca="1" si="6"/>
        <v>4.5953330666419018E-2</v>
      </c>
      <c r="Q59" s="5">
        <f t="shared" ca="1" si="7"/>
        <v>-5.4961454043457696E-3</v>
      </c>
      <c r="R59" s="5">
        <f t="shared" ca="1" si="8"/>
        <v>-3.0854224822933259E-2</v>
      </c>
      <c r="S59" s="5">
        <f t="shared" ca="1" si="9"/>
        <v>2.3981793381023853E-2</v>
      </c>
    </row>
    <row r="60" spans="1:19" ht="15.75" thickBot="1" x14ac:dyDescent="0.3">
      <c r="A60" s="24">
        <v>45536</v>
      </c>
      <c r="B60" vm="510">
        <f ca="1"/>
        <v>53.87</v>
      </c>
      <c r="C60" vm="511">
        <f ca="1"/>
        <v>233</v>
      </c>
      <c r="D60" vm="512">
        <f ca="1"/>
        <v>121.1</v>
      </c>
      <c r="E60" vm="513">
        <f ca="1"/>
        <v>96.19</v>
      </c>
      <c r="F60" vm="514">
        <f ca="1"/>
        <v>188.58</v>
      </c>
      <c r="G60" vm="515">
        <f ca="1"/>
        <v>113.56</v>
      </c>
      <c r="H60" vm="516">
        <f ca="1"/>
        <v>117.22</v>
      </c>
      <c r="I60" vm="517">
        <f ca="1"/>
        <v>57.06</v>
      </c>
      <c r="J60" s="27" vm="518">
        <f ca="1"/>
        <v>576.82000000000005</v>
      </c>
      <c r="K60" s="5">
        <f t="shared" ca="1" si="1"/>
        <v>0.12858461975678198</v>
      </c>
      <c r="L60" s="5">
        <f t="shared" ca="1" si="2"/>
        <v>1.7316450011460958E-2</v>
      </c>
      <c r="M60" s="5">
        <f t="shared" ca="1" si="3"/>
        <v>-4.9533559998996002E-4</v>
      </c>
      <c r="N60" s="5">
        <f t="shared" ca="1" si="4"/>
        <v>6.2302398181390647E-2</v>
      </c>
      <c r="O60" s="5">
        <f t="shared" ca="1" si="5"/>
        <v>7.6910135654869607E-2</v>
      </c>
      <c r="P60" s="5">
        <f t="shared" ca="1" si="6"/>
        <v>-4.2159599000024015E-2</v>
      </c>
      <c r="Q60" s="5">
        <f t="shared" ca="1" si="7"/>
        <v>-6.123509524074853E-3</v>
      </c>
      <c r="R60" s="5">
        <f t="shared" ca="1" si="8"/>
        <v>0.25900503393087471</v>
      </c>
      <c r="S60" s="5">
        <f t="shared" ca="1" si="9"/>
        <v>1.7611970045769861E-2</v>
      </c>
    </row>
    <row r="61" spans="1:19" ht="15.75" thickBot="1" x14ac:dyDescent="0.3">
      <c r="A61" s="24">
        <v>45566</v>
      </c>
      <c r="B61" vm="519">
        <f ca="1"/>
        <v>52.39</v>
      </c>
      <c r="C61" vm="520">
        <f ca="1"/>
        <v>225.91</v>
      </c>
      <c r="D61" vm="521">
        <f ca="1"/>
        <v>122.48</v>
      </c>
      <c r="E61" vm="522">
        <f ca="1"/>
        <v>96.2</v>
      </c>
      <c r="F61" vm="523">
        <f ca="1"/>
        <v>171.78</v>
      </c>
      <c r="G61" vm="524">
        <f ca="1"/>
        <v>102.32</v>
      </c>
      <c r="H61" vm="525">
        <f ca="1"/>
        <v>116.78</v>
      </c>
      <c r="I61" vm="526">
        <f ca="1"/>
        <v>78.260000000000005</v>
      </c>
      <c r="J61" s="27" vm="527">
        <f ca="1"/>
        <v>571.24</v>
      </c>
      <c r="K61" s="5">
        <f t="shared" ca="1" si="1"/>
        <v>-2.7858003272313962E-2</v>
      </c>
      <c r="L61" s="5">
        <f t="shared" ca="1" si="2"/>
        <v>-3.09017636965697E-2</v>
      </c>
      <c r="M61" s="5">
        <f t="shared" ca="1" si="3"/>
        <v>1.1331100790381779E-2</v>
      </c>
      <c r="N61" s="5">
        <f t="shared" ca="1" si="4"/>
        <v>1.0395550713666875E-4</v>
      </c>
      <c r="O61" s="5">
        <f t="shared" ca="1" si="5"/>
        <v>-9.330773169945264E-2</v>
      </c>
      <c r="P61" s="5">
        <f t="shared" ca="1" si="6"/>
        <v>-0.10422617433418321</v>
      </c>
      <c r="Q61" s="5">
        <f t="shared" ca="1" si="7"/>
        <v>-3.7606881928916517E-3</v>
      </c>
      <c r="R61" s="5">
        <f t="shared" ca="1" si="8"/>
        <v>0.31593327099691249</v>
      </c>
      <c r="S61" s="5">
        <f t="shared" ca="1" si="9"/>
        <v>-9.7208228486758055E-3</v>
      </c>
    </row>
    <row r="62" spans="1:19" ht="15.75" thickBot="1" x14ac:dyDescent="0.3">
      <c r="A62" s="24">
        <v>45597</v>
      </c>
      <c r="B62" vm="528">
        <f ca="1"/>
        <v>49.83</v>
      </c>
      <c r="C62" vm="529">
        <f ca="1"/>
        <v>237.33</v>
      </c>
      <c r="D62" vm="530">
        <f ca="1"/>
        <v>129.41</v>
      </c>
      <c r="E62" vm="531">
        <f ca="1"/>
        <v>117.47</v>
      </c>
      <c r="F62" vm="532">
        <f ca="1"/>
        <v>182.16</v>
      </c>
      <c r="G62" vm="533">
        <f ca="1"/>
        <v>101.64</v>
      </c>
      <c r="H62" vm="534">
        <f ca="1"/>
        <v>117.96</v>
      </c>
      <c r="I62" vm="535">
        <f ca="1"/>
        <v>96.83</v>
      </c>
      <c r="J62" s="27" vm="536">
        <f ca="1"/>
        <v>605.07000000000005</v>
      </c>
      <c r="K62" s="5">
        <f t="shared" ca="1" si="1"/>
        <v>-5.0098521126815218E-2</v>
      </c>
      <c r="L62" s="5">
        <f t="shared" ca="1" si="2"/>
        <v>4.9314887832283751E-2</v>
      </c>
      <c r="M62" s="5">
        <f t="shared" ca="1" si="3"/>
        <v>5.503790748415037E-2</v>
      </c>
      <c r="N62" s="5">
        <f t="shared" ca="1" si="4"/>
        <v>0.19975362416413378</v>
      </c>
      <c r="O62" s="5">
        <f t="shared" ca="1" si="5"/>
        <v>5.8670833417405498E-2</v>
      </c>
      <c r="P62" s="5">
        <f t="shared" ca="1" si="6"/>
        <v>-6.6679988186238628E-3</v>
      </c>
      <c r="Q62" s="5">
        <f t="shared" ca="1" si="7"/>
        <v>1.0053761091683825E-2</v>
      </c>
      <c r="R62" s="5">
        <f t="shared" ca="1" si="8"/>
        <v>0.21292024684117319</v>
      </c>
      <c r="S62" s="5">
        <f t="shared" ca="1" si="9"/>
        <v>5.7534717232432281E-2</v>
      </c>
    </row>
    <row r="63" spans="1:19" x14ac:dyDescent="0.25">
      <c r="A63" s="24">
        <v>45627</v>
      </c>
      <c r="B63" vm="537">
        <f ca="1"/>
        <v>41.07</v>
      </c>
      <c r="C63" vm="538">
        <f ca="1"/>
        <v>250.42</v>
      </c>
      <c r="D63" vm="539">
        <f ca="1"/>
        <v>118.53</v>
      </c>
      <c r="E63" vm="540">
        <f ca="1"/>
        <v>111.35</v>
      </c>
      <c r="F63" vm="541">
        <f ca="1"/>
        <v>166.79</v>
      </c>
      <c r="G63" vm="542">
        <f ca="1"/>
        <v>99.48</v>
      </c>
      <c r="H63" vm="543">
        <f ca="1"/>
        <v>107.57</v>
      </c>
      <c r="I63" vm="544">
        <f ca="1"/>
        <v>97.1</v>
      </c>
      <c r="J63" s="27" vm="545">
        <f ca="1"/>
        <v>588.67999999999995</v>
      </c>
      <c r="K63" s="5">
        <f ca="1">LN(B63/B62)</f>
        <v>-0.19333928432484598</v>
      </c>
      <c r="L63" s="5">
        <f t="shared" ref="L63:S63" ca="1" si="10">LN(C63/C62)</f>
        <v>5.3687930539386738E-2</v>
      </c>
      <c r="M63" s="5">
        <f t="shared" ca="1" si="10"/>
        <v>-8.7819565742169647E-2</v>
      </c>
      <c r="N63" s="5">
        <f t="shared" ca="1" si="10"/>
        <v>-5.350458813241802E-2</v>
      </c>
      <c r="O63" s="5">
        <f t="shared" ca="1" si="10"/>
        <v>-8.8149885666402444E-2</v>
      </c>
      <c r="P63" s="5">
        <f t="shared" ca="1" si="10"/>
        <v>-2.1480539516759396E-2</v>
      </c>
      <c r="Q63" s="5">
        <f t="shared" ca="1" si="10"/>
        <v>-9.220378550316144E-2</v>
      </c>
      <c r="R63" s="5">
        <f t="shared" ca="1" si="10"/>
        <v>2.7845116738394286E-3</v>
      </c>
      <c r="S63" s="5">
        <f t="shared" ca="1" si="10"/>
        <v>-2.7461411521252803E-2</v>
      </c>
    </row>
    <row r="65" spans="1:19" x14ac:dyDescent="0.25">
      <c r="A65" s="1" t="s">
        <v>7</v>
      </c>
      <c r="K65" s="5">
        <f ca="1">STDEV(PZZA)</f>
        <v>0.10716517764702532</v>
      </c>
      <c r="L65" s="5">
        <f ca="1">STDEV(AAPL)</f>
        <v>8.1666601488429955E-2</v>
      </c>
      <c r="M65" s="5">
        <f ca="1">STDEV(PRU)</f>
        <v>9.1465109088268048E-2</v>
      </c>
      <c r="N65" s="5">
        <f ca="1">STDEV(DIS)</f>
        <v>0.10196795963697509</v>
      </c>
      <c r="O65" s="5">
        <f ca="1">STDEV(GE)</f>
        <v>0.11048029122030109</v>
      </c>
      <c r="P65" s="5">
        <f ca="1">STDEV(MRK)</f>
        <v>6.232719516137783E-2</v>
      </c>
      <c r="Q65" s="5">
        <f ca="1">STDEV(XOM)</f>
        <v>9.7405101993056561E-2</v>
      </c>
      <c r="R65" s="5">
        <f ca="1">STDEV(UAL)</f>
        <v>0.15836761512795969</v>
      </c>
      <c r="S65" s="5">
        <f ca="1">STDEV(IVV)</f>
        <v>5.3217839859778335E-2</v>
      </c>
    </row>
    <row r="66" spans="1:19" x14ac:dyDescent="0.25">
      <c r="A66" s="1" t="s">
        <v>8</v>
      </c>
      <c r="K66" s="5">
        <f ca="1">K65*SQRT(12)</f>
        <v>0.37123106497358477</v>
      </c>
      <c r="L66" s="5">
        <f t="shared" ref="L66:S66" ca="1" si="11">L65*SQRT(12)</f>
        <v>0.28290140611888154</v>
      </c>
      <c r="M66" s="5">
        <f t="shared" ca="1" si="11"/>
        <v>0.31684443212142022</v>
      </c>
      <c r="N66" s="5">
        <f t="shared" ca="1" si="11"/>
        <v>0.35322737367074675</v>
      </c>
      <c r="O66" s="5">
        <f t="shared" ca="1" si="11"/>
        <v>0.38271495525713445</v>
      </c>
      <c r="P66" s="5">
        <f t="shared" ca="1" si="11"/>
        <v>0.21590773742553496</v>
      </c>
      <c r="Q66" s="5">
        <f t="shared" ca="1" si="11"/>
        <v>0.33742117113680492</v>
      </c>
      <c r="R66" s="5">
        <f t="shared" ca="1" si="11"/>
        <v>0.54860151135027946</v>
      </c>
      <c r="S66" s="5">
        <f t="shared" ca="1" si="11"/>
        <v>0.18435200501240048</v>
      </c>
    </row>
    <row r="67" spans="1:19" x14ac:dyDescent="0.25">
      <c r="A67" s="1" t="s">
        <v>9</v>
      </c>
      <c r="K67" s="28">
        <f ca="1">CORREL(PZZA,IVV)</f>
        <v>0.56078367809407692</v>
      </c>
      <c r="L67" s="28">
        <f ca="1">CORREL(AAPL,IVV)</f>
        <v>0.75880573799745676</v>
      </c>
      <c r="M67" s="28">
        <f ca="1">CORREL(PRU,IVV)</f>
        <v>0.76438732429341294</v>
      </c>
      <c r="N67" s="28">
        <f ca="1">CORREL(DIS,IVV)</f>
        <v>0.73876912832422315</v>
      </c>
      <c r="O67" s="28">
        <f ca="1">CORREL(GE,IVV)</f>
        <v>0.58582668851126896</v>
      </c>
      <c r="P67" s="28">
        <f ca="1">CORREL(MRK,IVV)</f>
        <v>0.32342340201471642</v>
      </c>
      <c r="Q67" s="28">
        <f ca="1">CORREL(XOM,IVV)</f>
        <v>0.49075949773029076</v>
      </c>
      <c r="R67" s="28">
        <f ca="1">CORREL(UAL,IVV)</f>
        <v>0.52708062605694772</v>
      </c>
      <c r="S67">
        <f ca="1">CORREL(IVV,IVV)</f>
        <v>0.99999999999999989</v>
      </c>
    </row>
    <row r="68" spans="1:19" x14ac:dyDescent="0.25">
      <c r="A68" s="1" t="s">
        <v>10</v>
      </c>
      <c r="K68" s="28">
        <f ca="1">K67*(K66/$S$66)</f>
        <v>1.1292544500650525</v>
      </c>
      <c r="L68" s="28">
        <f t="shared" ref="L68:S68" ca="1" si="12">L67*(L66/$S$66)</f>
        <v>1.1644419611065067</v>
      </c>
      <c r="M68" s="28">
        <f t="shared" ca="1" si="12"/>
        <v>1.3137468598199797</v>
      </c>
      <c r="N68" s="28">
        <f t="shared" ca="1" si="12"/>
        <v>1.4155174440844249</v>
      </c>
      <c r="O68" s="28">
        <f t="shared" ca="1" si="12"/>
        <v>1.2161768181851038</v>
      </c>
      <c r="P68" s="28">
        <f t="shared" ca="1" si="12"/>
        <v>0.37878413611378686</v>
      </c>
      <c r="Q68" s="28">
        <f t="shared" ca="1" si="12"/>
        <v>0.89824162454607548</v>
      </c>
      <c r="R68" s="28">
        <f t="shared" ca="1" si="12"/>
        <v>1.5685060113061575</v>
      </c>
      <c r="S68">
        <f t="shared" ca="1" si="12"/>
        <v>0.99999999999999989</v>
      </c>
    </row>
    <row r="69" spans="1:19" x14ac:dyDescent="0.25">
      <c r="A69" s="1" t="s">
        <v>11</v>
      </c>
      <c r="J69" s="8"/>
      <c r="K69" s="8">
        <f ca="1">$U$1+K68*$U$2</f>
        <v>9.4367503653707996E-2</v>
      </c>
      <c r="L69" s="8">
        <f t="shared" ref="L69:S69" ca="1" si="13">$U$1+L68*$U$2</f>
        <v>9.6373191783070883E-2</v>
      </c>
      <c r="M69" s="8">
        <f t="shared" ca="1" si="13"/>
        <v>0.10488357100973884</v>
      </c>
      <c r="N69" s="8">
        <f t="shared" ca="1" si="13"/>
        <v>0.11068449431281223</v>
      </c>
      <c r="O69" s="8">
        <f t="shared" ca="1" si="13"/>
        <v>9.9322078636550917E-2</v>
      </c>
      <c r="P69" s="8">
        <f t="shared" ca="1" si="13"/>
        <v>5.1590695758485849E-2</v>
      </c>
      <c r="Q69" s="8">
        <f t="shared" ca="1" si="13"/>
        <v>8.1199772599126308E-2</v>
      </c>
      <c r="R69" s="8">
        <f t="shared" ca="1" si="13"/>
        <v>0.11940484264445098</v>
      </c>
      <c r="S69" s="8">
        <f t="shared" ca="1" si="13"/>
        <v>8.6999999999999994E-2</v>
      </c>
    </row>
  </sheetData>
  <mergeCells count="2">
    <mergeCell ref="B1:J1"/>
    <mergeCell ref="K1:S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2"/>
  <sheetViews>
    <sheetView workbookViewId="0">
      <selection activeCell="L14" sqref="L14"/>
    </sheetView>
  </sheetViews>
  <sheetFormatPr defaultRowHeight="15" x14ac:dyDescent="0.25"/>
  <cols>
    <col min="11" max="11" width="9.5703125" customWidth="1"/>
    <col min="12" max="12" width="10" customWidth="1"/>
  </cols>
  <sheetData>
    <row r="1" spans="1:12" x14ac:dyDescent="0.25">
      <c r="C1" s="30" t="s">
        <v>16</v>
      </c>
      <c r="D1" s="30"/>
      <c r="E1" s="30"/>
      <c r="F1" s="30"/>
      <c r="G1" s="30"/>
      <c r="H1" s="30"/>
    </row>
    <row r="2" spans="1:12" x14ac:dyDescent="0.25">
      <c r="A2" s="10"/>
      <c r="B2" s="17" t="str">
        <f>Returns!B2</f>
        <v>PZZA</v>
      </c>
      <c r="C2" s="17" t="str">
        <f>Returns!C2</f>
        <v>AAPL</v>
      </c>
      <c r="D2" s="17" t="str">
        <f>Returns!D2</f>
        <v>PRU</v>
      </c>
      <c r="E2" s="17" t="str">
        <f>Returns!E2</f>
        <v>DIS</v>
      </c>
      <c r="F2" s="17" t="str">
        <f>Returns!F2</f>
        <v>GE</v>
      </c>
      <c r="G2" s="17" t="str">
        <f>Returns!G2</f>
        <v>MRK</v>
      </c>
      <c r="H2" s="17" t="str">
        <f>Returns!H2</f>
        <v>XOM</v>
      </c>
      <c r="I2" s="17" t="str">
        <f>Returns!I2</f>
        <v>UAL</v>
      </c>
      <c r="J2" s="10"/>
      <c r="K2" s="10" t="s">
        <v>14</v>
      </c>
      <c r="L2" s="10" t="s">
        <v>41</v>
      </c>
    </row>
    <row r="3" spans="1:12" x14ac:dyDescent="0.25">
      <c r="A3" s="18" t="str">
        <f>B2</f>
        <v>PZZA</v>
      </c>
      <c r="B3">
        <f ca="1">CORREL(PZZA,PZZA)</f>
        <v>1</v>
      </c>
      <c r="C3">
        <f ca="1">B4</f>
        <v>0.47755420282620759</v>
      </c>
      <c r="D3">
        <f ca="1">B5</f>
        <v>0.40302987531824708</v>
      </c>
      <c r="E3">
        <f ca="1">B6</f>
        <v>0.35414202931859462</v>
      </c>
      <c r="F3">
        <f ca="1">B7</f>
        <v>0.11614746112280691</v>
      </c>
      <c r="G3">
        <f ca="1">B8</f>
        <v>0.1968390567793529</v>
      </c>
      <c r="H3">
        <f ca="1">B9</f>
        <v>0.25261420939222773</v>
      </c>
      <c r="I3">
        <f ca="1">B10</f>
        <v>9.8157531042998722E-2</v>
      </c>
      <c r="K3" s="8">
        <f ca="1">Returns!K66</f>
        <v>0.37123106497358477</v>
      </c>
      <c r="L3" s="8">
        <f ca="1">Returns!K69</f>
        <v>9.4367503653707996E-2</v>
      </c>
    </row>
    <row r="4" spans="1:12" x14ac:dyDescent="0.25">
      <c r="A4" s="18" t="str">
        <f>C2</f>
        <v>AAPL</v>
      </c>
      <c r="B4">
        <f ca="1">CORREL(PZZA,AAPL)</f>
        <v>0.47755420282620759</v>
      </c>
      <c r="C4">
        <f ca="1">CORREL(AAPL,AAPL)</f>
        <v>1</v>
      </c>
      <c r="D4">
        <f ca="1">C5</f>
        <v>0.41580768285147007</v>
      </c>
      <c r="E4">
        <f ca="1">C6</f>
        <v>0.48482594912790355</v>
      </c>
      <c r="F4">
        <f ca="1">C7</f>
        <v>0.2803082393221325</v>
      </c>
      <c r="G4">
        <f ca="1">C8</f>
        <v>0.14190826587525815</v>
      </c>
      <c r="H4">
        <f ca="1">C9</f>
        <v>0.19913027244470169</v>
      </c>
      <c r="I4">
        <f ca="1">C10</f>
        <v>0.25718207501616241</v>
      </c>
      <c r="K4" s="8">
        <f ca="1">Returns!L66</f>
        <v>0.28290140611888154</v>
      </c>
      <c r="L4" s="8">
        <f ca="1">Returns!L69</f>
        <v>9.6373191783070883E-2</v>
      </c>
    </row>
    <row r="5" spans="1:12" x14ac:dyDescent="0.25">
      <c r="A5" s="18" t="str">
        <f>D2</f>
        <v>PRU</v>
      </c>
      <c r="B5">
        <f ca="1">CORREL(PZZA,PRU)</f>
        <v>0.40302987531824708</v>
      </c>
      <c r="C5">
        <f ca="1">CORREL(AAPL,PRU)</f>
        <v>0.41580768285147007</v>
      </c>
      <c r="D5">
        <f ca="1">CORREL(PRU,PRU)</f>
        <v>1</v>
      </c>
      <c r="E5">
        <f ca="1">D6</f>
        <v>0.64298581047587167</v>
      </c>
      <c r="F5">
        <f ca="1">D7</f>
        <v>0.57192090131422801</v>
      </c>
      <c r="G5">
        <f ca="1">D8</f>
        <v>0.28279317187010083</v>
      </c>
      <c r="H5">
        <f ca="1">D9</f>
        <v>0.72052327369716562</v>
      </c>
      <c r="I5">
        <f ca="1">D10</f>
        <v>0.67032148586608797</v>
      </c>
      <c r="K5" s="8">
        <f ca="1">Returns!M66</f>
        <v>0.31684443212142022</v>
      </c>
      <c r="L5" s="8">
        <f ca="1">Returns!M69</f>
        <v>0.10488357100973884</v>
      </c>
    </row>
    <row r="6" spans="1:12" x14ac:dyDescent="0.25">
      <c r="A6" s="18" t="str">
        <f>E2</f>
        <v>DIS</v>
      </c>
      <c r="B6">
        <f ca="1">CORREL(PZZA,DIS)</f>
        <v>0.35414202931859462</v>
      </c>
      <c r="C6">
        <f ca="1">CORREL(AAPL,DIS)</f>
        <v>0.48482594912790355</v>
      </c>
      <c r="D6">
        <f ca="1">CORREL(PRU,DIS)</f>
        <v>0.64298581047587167</v>
      </c>
      <c r="E6">
        <f ca="1">CORREL(DIS,DIS)</f>
        <v>1</v>
      </c>
      <c r="F6">
        <f ca="1">E7</f>
        <v>0.61491552432528196</v>
      </c>
      <c r="G6">
        <f ca="1">E8</f>
        <v>0.2146603644846784</v>
      </c>
      <c r="H6">
        <f ca="1">E9</f>
        <v>0.49134033681646883</v>
      </c>
      <c r="I6">
        <f ca="1">E10</f>
        <v>0.52209149426219736</v>
      </c>
      <c r="K6" s="8">
        <f ca="1">Returns!N66</f>
        <v>0.35322737367074675</v>
      </c>
      <c r="L6" s="8">
        <f ca="1">Returns!N69</f>
        <v>0.11068449431281223</v>
      </c>
    </row>
    <row r="7" spans="1:12" x14ac:dyDescent="0.25">
      <c r="A7" s="18" t="str">
        <f>F2</f>
        <v>GE</v>
      </c>
      <c r="B7">
        <f ca="1">CORREL(PZZA,GE)</f>
        <v>0.11614746112280691</v>
      </c>
      <c r="C7">
        <f ca="1">CORREL(AAPL,GE)</f>
        <v>0.2803082393221325</v>
      </c>
      <c r="D7">
        <f ca="1">CORREL(PRU,GE)</f>
        <v>0.57192090131422801</v>
      </c>
      <c r="E7">
        <f ca="1">CORREL(DIS,GE)</f>
        <v>0.61491552432528196</v>
      </c>
      <c r="F7">
        <f ca="1">CORREL(GE,GE)</f>
        <v>1</v>
      </c>
      <c r="G7">
        <f ca="1">F8</f>
        <v>0.13113325645362436</v>
      </c>
      <c r="H7">
        <f ca="1">F9</f>
        <v>0.4814907810367926</v>
      </c>
      <c r="I7">
        <f ca="1">F10</f>
        <v>0.62610725669883305</v>
      </c>
      <c r="K7" s="8">
        <f ca="1">Returns!O66</f>
        <v>0.38271495525713445</v>
      </c>
      <c r="L7" s="8">
        <f ca="1">Returns!O69</f>
        <v>9.9322078636550917E-2</v>
      </c>
    </row>
    <row r="8" spans="1:12" x14ac:dyDescent="0.25">
      <c r="A8" s="18" t="str">
        <f>G2</f>
        <v>MRK</v>
      </c>
      <c r="B8">
        <f ca="1">CORREL(PZZA,MRK)</f>
        <v>0.1968390567793529</v>
      </c>
      <c r="C8">
        <f ca="1">CORREL(AAPL,MRK)</f>
        <v>0.14190826587525815</v>
      </c>
      <c r="D8">
        <f ca="1">CORREL(PRU,MRK)</f>
        <v>0.28279317187010083</v>
      </c>
      <c r="E8">
        <f ca="1">CORREL(DIS,MRK)</f>
        <v>0.2146603644846784</v>
      </c>
      <c r="F8">
        <f ca="1">CORREL(GE,MRK)</f>
        <v>0.13113325645362436</v>
      </c>
      <c r="G8">
        <f ca="1">CORREL(MRK,MRK)</f>
        <v>1</v>
      </c>
      <c r="H8">
        <f ca="1">G9</f>
        <v>0.39536818013728225</v>
      </c>
      <c r="I8">
        <f ca="1">G10</f>
        <v>0.1129678120431777</v>
      </c>
      <c r="K8" s="8">
        <f ca="1">Returns!P66</f>
        <v>0.21590773742553496</v>
      </c>
      <c r="L8" s="8">
        <f ca="1">Returns!P69</f>
        <v>5.1590695758485849E-2</v>
      </c>
    </row>
    <row r="9" spans="1:12" x14ac:dyDescent="0.25">
      <c r="A9" s="18" t="str">
        <f>H2</f>
        <v>XOM</v>
      </c>
      <c r="B9">
        <f ca="1">CORREL(PZZA,XOM)</f>
        <v>0.25261420939222773</v>
      </c>
      <c r="C9">
        <f ca="1">CORREL(AAPL,XOM)</f>
        <v>0.19913027244470169</v>
      </c>
      <c r="D9">
        <f ca="1">CORREL(PRU,XOM)</f>
        <v>0.72052327369716562</v>
      </c>
      <c r="E9">
        <f ca="1">CORREL(DIS,XOM)</f>
        <v>0.49134033681646883</v>
      </c>
      <c r="F9">
        <f ca="1">CORREL(GE,XOM)</f>
        <v>0.4814907810367926</v>
      </c>
      <c r="G9">
        <f ca="1">CORREL(MRK,XOM)</f>
        <v>0.39536818013728225</v>
      </c>
      <c r="H9">
        <f ca="1">CORREL(XOM,XOM)</f>
        <v>0.99999999999999978</v>
      </c>
      <c r="I9">
        <f ca="1">H10</f>
        <v>0.51649811841524484</v>
      </c>
      <c r="K9" s="8">
        <f ca="1">Returns!Q66</f>
        <v>0.33742117113680492</v>
      </c>
      <c r="L9" s="8">
        <f ca="1">Returns!Q69</f>
        <v>8.1199772599126308E-2</v>
      </c>
    </row>
    <row r="10" spans="1:12" x14ac:dyDescent="0.25">
      <c r="A10" s="18" t="str">
        <f>I2</f>
        <v>UAL</v>
      </c>
      <c r="B10">
        <f ca="1">CORREL(PZZA,UAL)</f>
        <v>9.8157531042998722E-2</v>
      </c>
      <c r="C10">
        <f ca="1">CORREL(AAPL,UAL)</f>
        <v>0.25718207501616241</v>
      </c>
      <c r="D10">
        <f ca="1">CORREL(PRU,UAL)</f>
        <v>0.67032148586608797</v>
      </c>
      <c r="E10">
        <f ca="1">CORREL(DIS,UAL)</f>
        <v>0.52209149426219736</v>
      </c>
      <c r="F10">
        <f ca="1">CORREL(GE,UAL)</f>
        <v>0.62610725669883305</v>
      </c>
      <c r="G10">
        <f ca="1">CORREL(MRK,UAL)</f>
        <v>0.1129678120431777</v>
      </c>
      <c r="H10">
        <f ca="1">CORREL(XOM,UAL)</f>
        <v>0.51649811841524484</v>
      </c>
      <c r="I10">
        <f ca="1">CORREL(UAL,UAL)</f>
        <v>1.0000000000000002</v>
      </c>
      <c r="K10" s="8">
        <f ca="1">Returns!R66</f>
        <v>0.54860151135027946</v>
      </c>
      <c r="L10" s="8">
        <f ca="1">Returns!R69</f>
        <v>0.11940484264445098</v>
      </c>
    </row>
    <row r="13" spans="1:12" x14ac:dyDescent="0.25">
      <c r="C13" s="30" t="s">
        <v>15</v>
      </c>
      <c r="D13" s="30"/>
      <c r="E13" s="30"/>
      <c r="F13" s="30"/>
      <c r="G13" s="30"/>
      <c r="H13" s="30"/>
    </row>
    <row r="14" spans="1:12" x14ac:dyDescent="0.25">
      <c r="B14" s="17" t="str">
        <f>B2</f>
        <v>PZZA</v>
      </c>
      <c r="C14" s="17" t="str">
        <f t="shared" ref="C14:I14" si="0">C2</f>
        <v>AAPL</v>
      </c>
      <c r="D14" s="17" t="str">
        <f t="shared" si="0"/>
        <v>PRU</v>
      </c>
      <c r="E14" s="17" t="str">
        <f t="shared" si="0"/>
        <v>DIS</v>
      </c>
      <c r="F14" s="17" t="str">
        <f t="shared" si="0"/>
        <v>GE</v>
      </c>
      <c r="G14" s="17" t="str">
        <f t="shared" si="0"/>
        <v>MRK</v>
      </c>
      <c r="H14" s="17" t="str">
        <f t="shared" si="0"/>
        <v>XOM</v>
      </c>
      <c r="I14" s="17" t="str">
        <f t="shared" si="0"/>
        <v>UAL</v>
      </c>
    </row>
    <row r="15" spans="1:12" x14ac:dyDescent="0.25">
      <c r="A15" s="18" t="str">
        <f>A3</f>
        <v>PZZA</v>
      </c>
      <c r="B15">
        <f ca="1">B3*$K$3*K3</f>
        <v>0.13781250360142192</v>
      </c>
      <c r="C15">
        <f ca="1">C3*$K$4*K3</f>
        <v>5.0153597334654014E-2</v>
      </c>
      <c r="D15">
        <f ca="1">D3*$K$5*K3</f>
        <v>4.7405379884356398E-2</v>
      </c>
      <c r="E15">
        <f ca="1">E3*$K$6*K3</f>
        <v>4.6438280992227479E-2</v>
      </c>
      <c r="F15">
        <f ca="1">F3*$K$7*K3</f>
        <v>1.6501729568243667E-2</v>
      </c>
      <c r="G15">
        <f ca="1">G3*$K$8*K3</f>
        <v>1.5776977016014101E-2</v>
      </c>
      <c r="H15">
        <f ca="1">H3*$K$9*K3</f>
        <v>3.1642764236088458E-2</v>
      </c>
      <c r="I15">
        <f ca="1">I3*$K$10*K3</f>
        <v>1.9990558928932017E-2</v>
      </c>
    </row>
    <row r="16" spans="1:12" x14ac:dyDescent="0.25">
      <c r="A16" s="18" t="str">
        <f t="shared" ref="A16:A22" si="1">A4</f>
        <v>AAPL</v>
      </c>
      <c r="B16">
        <f t="shared" ref="B16:B22" ca="1" si="2">B4*$K$3*K4</f>
        <v>5.0153597334654007E-2</v>
      </c>
      <c r="C16">
        <f t="shared" ref="C16:C22" ca="1" si="3">C4*$K$4*K4</f>
        <v>8.003320558404034E-2</v>
      </c>
      <c r="D16">
        <f t="shared" ref="D16:D22" ca="1" si="4">D4*$K$5*K4</f>
        <v>3.7271227424092356E-2</v>
      </c>
      <c r="E16">
        <f t="shared" ref="E16:E22" ca="1" si="5">E4*$K$6*K4</f>
        <v>4.8447939889026313E-2</v>
      </c>
      <c r="F16">
        <f t="shared" ref="F16:F22" ca="1" si="6">F4*$K$7*K4</f>
        <v>3.0349140971829093E-2</v>
      </c>
      <c r="G16">
        <f t="shared" ref="G16:G22" ca="1" si="7">G4*$K$8*K4</f>
        <v>8.667842380757549E-3</v>
      </c>
      <c r="H16">
        <f t="shared" ref="H16:H22" ca="1" si="8">H4*$K$9*K4</f>
        <v>1.9008363236830569E-2</v>
      </c>
      <c r="I16">
        <f t="shared" ref="I16:I22" ca="1" si="9">I4*$K$10*K4</f>
        <v>3.9914693780513502E-2</v>
      </c>
    </row>
    <row r="17" spans="1:9" x14ac:dyDescent="0.25">
      <c r="A17" s="18" t="str">
        <f t="shared" si="1"/>
        <v>PRU</v>
      </c>
      <c r="B17">
        <f t="shared" ca="1" si="2"/>
        <v>4.7405379884356405E-2</v>
      </c>
      <c r="C17">
        <f t="shared" ca="1" si="3"/>
        <v>3.7271227424092356E-2</v>
      </c>
      <c r="D17">
        <f t="shared" ca="1" si="4"/>
        <v>0.10039039416634526</v>
      </c>
      <c r="E17">
        <f t="shared" ca="1" si="5"/>
        <v>7.196176735199028E-2</v>
      </c>
      <c r="F17">
        <f t="shared" ca="1" si="6"/>
        <v>6.9351759129278018E-2</v>
      </c>
      <c r="G17">
        <f t="shared" ca="1" si="7"/>
        <v>1.9345644601273419E-2</v>
      </c>
      <c r="H17">
        <f t="shared" ca="1" si="8"/>
        <v>7.7031157136393288E-2</v>
      </c>
      <c r="I17">
        <f t="shared" ca="1" si="9"/>
        <v>0.11651617509978049</v>
      </c>
    </row>
    <row r="18" spans="1:9" x14ac:dyDescent="0.25">
      <c r="A18" s="18" t="str">
        <f t="shared" si="1"/>
        <v>DIS</v>
      </c>
      <c r="B18">
        <f t="shared" ca="1" si="2"/>
        <v>4.6438280992227479E-2</v>
      </c>
      <c r="C18">
        <f t="shared" ca="1" si="3"/>
        <v>4.8447939889026313E-2</v>
      </c>
      <c r="D18">
        <f t="shared" ca="1" si="4"/>
        <v>7.196176735199028E-2</v>
      </c>
      <c r="E18">
        <f t="shared" ca="1" si="5"/>
        <v>0.12476957751033335</v>
      </c>
      <c r="F18">
        <f t="shared" ca="1" si="6"/>
        <v>8.3127600205895741E-2</v>
      </c>
      <c r="G18">
        <f t="shared" ca="1" si="7"/>
        <v>1.6370970314307717E-2</v>
      </c>
      <c r="H18">
        <f t="shared" ca="1" si="8"/>
        <v>5.8561083021801463E-2</v>
      </c>
      <c r="I18">
        <f t="shared" ca="1" si="9"/>
        <v>0.10117144894216733</v>
      </c>
    </row>
    <row r="19" spans="1:9" x14ac:dyDescent="0.25">
      <c r="A19" s="18" t="str">
        <f t="shared" si="1"/>
        <v>GE</v>
      </c>
      <c r="B19">
        <f t="shared" ca="1" si="2"/>
        <v>1.6501729568243667E-2</v>
      </c>
      <c r="C19">
        <f t="shared" ca="1" si="3"/>
        <v>3.0349140971829093E-2</v>
      </c>
      <c r="D19">
        <f t="shared" ca="1" si="4"/>
        <v>6.9351759129278018E-2</v>
      </c>
      <c r="E19">
        <f t="shared" ca="1" si="5"/>
        <v>8.3127600205895741E-2</v>
      </c>
      <c r="F19">
        <f t="shared" ca="1" si="6"/>
        <v>0.14647073697747043</v>
      </c>
      <c r="G19">
        <f t="shared" ca="1" si="7"/>
        <v>1.0835687858990573E-2</v>
      </c>
      <c r="H19">
        <f t="shared" ca="1" si="8"/>
        <v>6.2177855330332508E-2</v>
      </c>
      <c r="I19">
        <f t="shared" ca="1" si="9"/>
        <v>0.13145622919916344</v>
      </c>
    </row>
    <row r="20" spans="1:9" x14ac:dyDescent="0.25">
      <c r="A20" s="18" t="str">
        <f t="shared" si="1"/>
        <v>MRK</v>
      </c>
      <c r="B20">
        <f t="shared" ca="1" si="2"/>
        <v>1.5776977016014097E-2</v>
      </c>
      <c r="C20">
        <f t="shared" ca="1" si="3"/>
        <v>8.667842380757549E-3</v>
      </c>
      <c r="D20">
        <f t="shared" ca="1" si="4"/>
        <v>1.9345644601273419E-2</v>
      </c>
      <c r="E20">
        <f t="shared" ca="1" si="5"/>
        <v>1.6370970314307717E-2</v>
      </c>
      <c r="F20">
        <f t="shared" ca="1" si="6"/>
        <v>1.0835687858990575E-2</v>
      </c>
      <c r="G20">
        <f t="shared" ca="1" si="7"/>
        <v>4.6616151080213747E-2</v>
      </c>
      <c r="H20">
        <f t="shared" ca="1" si="8"/>
        <v>2.8803300040799375E-2</v>
      </c>
      <c r="I20">
        <f t="shared" ca="1" si="9"/>
        <v>1.3380733573282818E-2</v>
      </c>
    </row>
    <row r="21" spans="1:9" x14ac:dyDescent="0.25">
      <c r="A21" s="18" t="str">
        <f t="shared" si="1"/>
        <v>XOM</v>
      </c>
      <c r="B21">
        <f t="shared" ca="1" si="2"/>
        <v>3.1642764236088458E-2</v>
      </c>
      <c r="C21">
        <f t="shared" ca="1" si="3"/>
        <v>1.9008363236830569E-2</v>
      </c>
      <c r="D21">
        <f t="shared" ca="1" si="4"/>
        <v>7.7031157136393288E-2</v>
      </c>
      <c r="E21">
        <f t="shared" ca="1" si="5"/>
        <v>5.8561083021801463E-2</v>
      </c>
      <c r="F21">
        <f t="shared" ca="1" si="6"/>
        <v>6.2177855330332508E-2</v>
      </c>
      <c r="G21">
        <f t="shared" ca="1" si="7"/>
        <v>2.8803300040799378E-2</v>
      </c>
      <c r="H21">
        <f t="shared" ca="1" si="8"/>
        <v>0.11385304673133298</v>
      </c>
      <c r="I21">
        <f t="shared" ca="1" si="9"/>
        <v>9.5608845037284756E-2</v>
      </c>
    </row>
    <row r="22" spans="1:9" x14ac:dyDescent="0.25">
      <c r="A22" s="18" t="str">
        <f t="shared" si="1"/>
        <v>UAL</v>
      </c>
      <c r="B22">
        <f t="shared" ca="1" si="2"/>
        <v>1.9990558928932017E-2</v>
      </c>
      <c r="C22">
        <f t="shared" ca="1" si="3"/>
        <v>3.9914693780513502E-2</v>
      </c>
      <c r="D22">
        <f t="shared" ca="1" si="4"/>
        <v>0.1165161750997805</v>
      </c>
      <c r="E22">
        <f t="shared" ca="1" si="5"/>
        <v>0.10117144894216731</v>
      </c>
      <c r="F22">
        <f t="shared" ca="1" si="6"/>
        <v>0.13145622919916347</v>
      </c>
      <c r="G22">
        <f t="shared" ca="1" si="7"/>
        <v>1.3380733573282818E-2</v>
      </c>
      <c r="H22">
        <f t="shared" ca="1" si="8"/>
        <v>9.5608845037284756E-2</v>
      </c>
      <c r="I22">
        <f t="shared" ca="1" si="9"/>
        <v>0.30096361825581086</v>
      </c>
    </row>
  </sheetData>
  <mergeCells count="2">
    <mergeCell ref="C13:H13"/>
    <mergeCell ref="C1:H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27"/>
  <sheetViews>
    <sheetView workbookViewId="0">
      <selection activeCell="D26" sqref="D26"/>
    </sheetView>
  </sheetViews>
  <sheetFormatPr defaultRowHeight="15" x14ac:dyDescent="0.25"/>
  <cols>
    <col min="1" max="1" width="9.7109375" customWidth="1"/>
    <col min="3" max="3" width="9.140625" customWidth="1"/>
    <col min="4" max="4" width="9.28515625" bestFit="1" customWidth="1"/>
    <col min="5" max="5" width="9.5703125" customWidth="1"/>
    <col min="6" max="6" width="10.28515625" customWidth="1"/>
    <col min="7" max="7" width="10.42578125" customWidth="1"/>
    <col min="8" max="8" width="10.140625" customWidth="1"/>
    <col min="9" max="9" width="9.5703125" customWidth="1"/>
    <col min="10" max="10" width="9.28515625" bestFit="1" customWidth="1"/>
    <col min="12" max="12" width="14.85546875" customWidth="1"/>
    <col min="13" max="13" width="11.85546875" customWidth="1"/>
  </cols>
  <sheetData>
    <row r="1" spans="1:13" x14ac:dyDescent="0.25">
      <c r="D1" s="30" t="s">
        <v>15</v>
      </c>
      <c r="E1" s="30"/>
      <c r="F1" s="30"/>
      <c r="G1" s="30"/>
      <c r="H1" s="30"/>
      <c r="I1" s="30"/>
    </row>
    <row r="2" spans="1:13" x14ac:dyDescent="0.25">
      <c r="C2" s="2" t="str">
        <f>'Correlation Matrix'!B14</f>
        <v>PZZA</v>
      </c>
      <c r="D2" s="2" t="str">
        <f>'Correlation Matrix'!C14</f>
        <v>AAPL</v>
      </c>
      <c r="E2" s="2" t="str">
        <f>'Correlation Matrix'!D14</f>
        <v>PRU</v>
      </c>
      <c r="F2" s="2" t="str">
        <f>'Correlation Matrix'!E14</f>
        <v>DIS</v>
      </c>
      <c r="G2" s="2" t="str">
        <f>'Correlation Matrix'!F14</f>
        <v>GE</v>
      </c>
      <c r="H2" s="2" t="str">
        <f>'Correlation Matrix'!G14</f>
        <v>MRK</v>
      </c>
      <c r="I2" s="2" t="str">
        <f>'Correlation Matrix'!H14</f>
        <v>XOM</v>
      </c>
      <c r="J2" s="2" t="str">
        <f>'Correlation Matrix'!I14</f>
        <v>UAL</v>
      </c>
    </row>
    <row r="3" spans="1:13" x14ac:dyDescent="0.25">
      <c r="B3" s="1" t="str">
        <f>'Correlation Matrix'!A15</f>
        <v>PZZA</v>
      </c>
      <c r="C3" s="12">
        <f ca="1">'Correlation Matrix'!B15</f>
        <v>0.13781250360142192</v>
      </c>
      <c r="D3" s="12">
        <f ca="1">'Correlation Matrix'!C15</f>
        <v>5.0153597334654014E-2</v>
      </c>
      <c r="E3" s="12">
        <f ca="1">'Correlation Matrix'!D15</f>
        <v>4.7405379884356398E-2</v>
      </c>
      <c r="F3" s="12">
        <f ca="1">'Correlation Matrix'!E15</f>
        <v>4.6438280992227479E-2</v>
      </c>
      <c r="G3" s="12">
        <f ca="1">'Correlation Matrix'!F15</f>
        <v>1.6501729568243667E-2</v>
      </c>
      <c r="H3" s="12">
        <f ca="1">'Correlation Matrix'!G15</f>
        <v>1.5776977016014101E-2</v>
      </c>
      <c r="I3" s="12">
        <f ca="1">'Correlation Matrix'!H15</f>
        <v>3.1642764236088458E-2</v>
      </c>
      <c r="J3" s="12">
        <f ca="1">'Correlation Matrix'!I15</f>
        <v>1.9990558928932017E-2</v>
      </c>
    </row>
    <row r="4" spans="1:13" x14ac:dyDescent="0.25">
      <c r="B4" s="1" t="str">
        <f>'Correlation Matrix'!A16</f>
        <v>AAPL</v>
      </c>
      <c r="C4" s="12">
        <f ca="1">'Correlation Matrix'!B16</f>
        <v>5.0153597334654007E-2</v>
      </c>
      <c r="D4" s="12">
        <f ca="1">'Correlation Matrix'!C16</f>
        <v>8.003320558404034E-2</v>
      </c>
      <c r="E4" s="12">
        <f ca="1">'Correlation Matrix'!D16</f>
        <v>3.7271227424092356E-2</v>
      </c>
      <c r="F4" s="12">
        <f ca="1">'Correlation Matrix'!E16</f>
        <v>4.8447939889026313E-2</v>
      </c>
      <c r="G4" s="12">
        <f ca="1">'Correlation Matrix'!F16</f>
        <v>3.0349140971829093E-2</v>
      </c>
      <c r="H4" s="12">
        <f ca="1">'Correlation Matrix'!G16</f>
        <v>8.667842380757549E-3</v>
      </c>
      <c r="I4" s="12">
        <f ca="1">'Correlation Matrix'!H16</f>
        <v>1.9008363236830569E-2</v>
      </c>
      <c r="J4" s="12">
        <f ca="1">'Correlation Matrix'!I16</f>
        <v>3.9914693780513502E-2</v>
      </c>
    </row>
    <row r="5" spans="1:13" x14ac:dyDescent="0.25">
      <c r="B5" s="1" t="str">
        <f>'Correlation Matrix'!A17</f>
        <v>PRU</v>
      </c>
      <c r="C5" s="12">
        <f ca="1">'Correlation Matrix'!B17</f>
        <v>4.7405379884356405E-2</v>
      </c>
      <c r="D5" s="12">
        <f ca="1">'Correlation Matrix'!C17</f>
        <v>3.7271227424092356E-2</v>
      </c>
      <c r="E5" s="12">
        <f ca="1">'Correlation Matrix'!D17</f>
        <v>0.10039039416634526</v>
      </c>
      <c r="F5" s="12">
        <f ca="1">'Correlation Matrix'!E17</f>
        <v>7.196176735199028E-2</v>
      </c>
      <c r="G5" s="12">
        <f ca="1">'Correlation Matrix'!F17</f>
        <v>6.9351759129278018E-2</v>
      </c>
      <c r="H5" s="12">
        <f ca="1">'Correlation Matrix'!G17</f>
        <v>1.9345644601273419E-2</v>
      </c>
      <c r="I5" s="12">
        <f ca="1">'Correlation Matrix'!H17</f>
        <v>7.7031157136393288E-2</v>
      </c>
      <c r="J5" s="12">
        <f ca="1">'Correlation Matrix'!I17</f>
        <v>0.11651617509978049</v>
      </c>
    </row>
    <row r="6" spans="1:13" x14ac:dyDescent="0.25">
      <c r="B6" s="1" t="str">
        <f>'Correlation Matrix'!A18</f>
        <v>DIS</v>
      </c>
      <c r="C6" s="12">
        <f ca="1">'Correlation Matrix'!B18</f>
        <v>4.6438280992227479E-2</v>
      </c>
      <c r="D6" s="12">
        <f ca="1">'Correlation Matrix'!C18</f>
        <v>4.8447939889026313E-2</v>
      </c>
      <c r="E6" s="12">
        <f ca="1">'Correlation Matrix'!D18</f>
        <v>7.196176735199028E-2</v>
      </c>
      <c r="F6" s="12">
        <f ca="1">'Correlation Matrix'!E18</f>
        <v>0.12476957751033335</v>
      </c>
      <c r="G6" s="12">
        <f ca="1">'Correlation Matrix'!F18</f>
        <v>8.3127600205895741E-2</v>
      </c>
      <c r="H6" s="12">
        <f ca="1">'Correlation Matrix'!G18</f>
        <v>1.6370970314307717E-2</v>
      </c>
      <c r="I6" s="12">
        <f ca="1">'Correlation Matrix'!H18</f>
        <v>5.8561083021801463E-2</v>
      </c>
      <c r="J6" s="12">
        <f ca="1">'Correlation Matrix'!I18</f>
        <v>0.10117144894216733</v>
      </c>
    </row>
    <row r="7" spans="1:13" x14ac:dyDescent="0.25">
      <c r="B7" s="1" t="str">
        <f>'Correlation Matrix'!A19</f>
        <v>GE</v>
      </c>
      <c r="C7" s="12">
        <f ca="1">'Correlation Matrix'!B19</f>
        <v>1.6501729568243667E-2</v>
      </c>
      <c r="D7" s="12">
        <f ca="1">'Correlation Matrix'!C19</f>
        <v>3.0349140971829093E-2</v>
      </c>
      <c r="E7" s="12">
        <f ca="1">'Correlation Matrix'!D19</f>
        <v>6.9351759129278018E-2</v>
      </c>
      <c r="F7" s="12">
        <f ca="1">'Correlation Matrix'!E19</f>
        <v>8.3127600205895741E-2</v>
      </c>
      <c r="G7" s="12">
        <f ca="1">'Correlation Matrix'!F19</f>
        <v>0.14647073697747043</v>
      </c>
      <c r="H7" s="12">
        <f ca="1">'Correlation Matrix'!G19</f>
        <v>1.0835687858990573E-2</v>
      </c>
      <c r="I7" s="12">
        <f ca="1">'Correlation Matrix'!H19</f>
        <v>6.2177855330332508E-2</v>
      </c>
      <c r="J7" s="12">
        <f ca="1">'Correlation Matrix'!I19</f>
        <v>0.13145622919916344</v>
      </c>
    </row>
    <row r="8" spans="1:13" x14ac:dyDescent="0.25">
      <c r="B8" s="1" t="str">
        <f>'Correlation Matrix'!A20</f>
        <v>MRK</v>
      </c>
      <c r="C8" s="12">
        <f ca="1">'Correlation Matrix'!B20</f>
        <v>1.5776977016014097E-2</v>
      </c>
      <c r="D8" s="12">
        <f ca="1">'Correlation Matrix'!C20</f>
        <v>8.667842380757549E-3</v>
      </c>
      <c r="E8" s="12">
        <f ca="1">'Correlation Matrix'!D20</f>
        <v>1.9345644601273419E-2</v>
      </c>
      <c r="F8" s="12">
        <f ca="1">'Correlation Matrix'!E20</f>
        <v>1.6370970314307717E-2</v>
      </c>
      <c r="G8" s="12">
        <f ca="1">'Correlation Matrix'!F20</f>
        <v>1.0835687858990575E-2</v>
      </c>
      <c r="H8" s="12">
        <f ca="1">'Correlation Matrix'!G20</f>
        <v>4.6616151080213747E-2</v>
      </c>
      <c r="I8" s="12">
        <f ca="1">'Correlation Matrix'!H20</f>
        <v>2.8803300040799375E-2</v>
      </c>
      <c r="J8" s="12">
        <f ca="1">'Correlation Matrix'!I20</f>
        <v>1.3380733573282818E-2</v>
      </c>
    </row>
    <row r="9" spans="1:13" x14ac:dyDescent="0.25">
      <c r="B9" s="1" t="str">
        <f>'Correlation Matrix'!A21</f>
        <v>XOM</v>
      </c>
      <c r="C9" s="12">
        <f ca="1">'Correlation Matrix'!B21</f>
        <v>3.1642764236088458E-2</v>
      </c>
      <c r="D9" s="12">
        <f ca="1">'Correlation Matrix'!C21</f>
        <v>1.9008363236830569E-2</v>
      </c>
      <c r="E9" s="12">
        <f ca="1">'Correlation Matrix'!D21</f>
        <v>7.7031157136393288E-2</v>
      </c>
      <c r="F9" s="12">
        <f ca="1">'Correlation Matrix'!E21</f>
        <v>5.8561083021801463E-2</v>
      </c>
      <c r="G9" s="12">
        <f ca="1">'Correlation Matrix'!F21</f>
        <v>6.2177855330332508E-2</v>
      </c>
      <c r="H9" s="12">
        <f ca="1">'Correlation Matrix'!G21</f>
        <v>2.8803300040799378E-2</v>
      </c>
      <c r="I9" s="12">
        <f ca="1">'Correlation Matrix'!H21</f>
        <v>0.11385304673133298</v>
      </c>
      <c r="J9" s="12">
        <f ca="1">'Correlation Matrix'!I21</f>
        <v>9.5608845037284756E-2</v>
      </c>
    </row>
    <row r="10" spans="1:13" x14ac:dyDescent="0.25">
      <c r="B10" s="1" t="str">
        <f>'Correlation Matrix'!A22</f>
        <v>UAL</v>
      </c>
      <c r="C10" s="12">
        <f ca="1">'Correlation Matrix'!B22</f>
        <v>1.9990558928932017E-2</v>
      </c>
      <c r="D10" s="12">
        <f ca="1">'Correlation Matrix'!C22</f>
        <v>3.9914693780513502E-2</v>
      </c>
      <c r="E10" s="12">
        <f ca="1">'Correlation Matrix'!D22</f>
        <v>0.1165161750997805</v>
      </c>
      <c r="F10" s="12">
        <f ca="1">'Correlation Matrix'!E22</f>
        <v>0.10117144894216731</v>
      </c>
      <c r="G10" s="12">
        <f ca="1">'Correlation Matrix'!F22</f>
        <v>0.13145622919916347</v>
      </c>
      <c r="H10" s="12">
        <f ca="1">'Correlation Matrix'!G22</f>
        <v>1.3380733573282818E-2</v>
      </c>
      <c r="I10" s="12">
        <f ca="1">'Correlation Matrix'!H22</f>
        <v>9.5608845037284756E-2</v>
      </c>
      <c r="J10" s="12">
        <f ca="1">'Correlation Matrix'!I22</f>
        <v>0.30096361825581086</v>
      </c>
      <c r="L10" s="1" t="s">
        <v>40</v>
      </c>
    </row>
    <row r="11" spans="1:13" x14ac:dyDescent="0.25">
      <c r="C11" s="12"/>
      <c r="D11" s="12"/>
      <c r="E11" s="12"/>
      <c r="F11" s="12"/>
      <c r="G11" s="12"/>
      <c r="H11" s="12"/>
      <c r="I11" s="12"/>
      <c r="J11" s="12"/>
      <c r="L11" t="s">
        <v>12</v>
      </c>
      <c r="M11" s="8">
        <f>Returns!U1</f>
        <v>0.03</v>
      </c>
    </row>
    <row r="12" spans="1:13" x14ac:dyDescent="0.25">
      <c r="D12" s="30" t="s">
        <v>18</v>
      </c>
      <c r="E12" s="30"/>
      <c r="F12" s="30"/>
      <c r="G12" s="30"/>
      <c r="H12" s="30"/>
      <c r="I12" s="30"/>
      <c r="L12" t="s">
        <v>35</v>
      </c>
      <c r="M12" s="5">
        <f ca="1">B27</f>
        <v>9.6050869776298564E-2</v>
      </c>
    </row>
    <row r="13" spans="1:13" x14ac:dyDescent="0.25">
      <c r="C13" s="2" t="str">
        <f>C2</f>
        <v>PZZA</v>
      </c>
      <c r="D13" s="2" t="str">
        <f t="shared" ref="D13:J13" si="0">D2</f>
        <v>AAPL</v>
      </c>
      <c r="E13" s="2" t="str">
        <f t="shared" si="0"/>
        <v>PRU</v>
      </c>
      <c r="F13" s="2" t="str">
        <f t="shared" si="0"/>
        <v>DIS</v>
      </c>
      <c r="G13" s="2" t="str">
        <f t="shared" si="0"/>
        <v>GE</v>
      </c>
      <c r="H13" s="2" t="str">
        <f t="shared" si="0"/>
        <v>MRK</v>
      </c>
      <c r="I13" s="2" t="str">
        <f t="shared" si="0"/>
        <v>XOM</v>
      </c>
      <c r="J13" s="2" t="str">
        <f t="shared" si="0"/>
        <v>UAL</v>
      </c>
      <c r="L13" t="s">
        <v>36</v>
      </c>
      <c r="M13" s="5">
        <f ca="1">B26</f>
        <v>0.22677951460883064</v>
      </c>
    </row>
    <row r="14" spans="1:13" x14ac:dyDescent="0.25">
      <c r="B14" s="1" t="s">
        <v>17</v>
      </c>
      <c r="C14" s="13">
        <f>B15</f>
        <v>8.9377885999449319E-2</v>
      </c>
      <c r="D14" s="13">
        <f>B16</f>
        <v>0.34932324020959515</v>
      </c>
      <c r="E14" s="13">
        <f>B17</f>
        <v>0.28282398781593376</v>
      </c>
      <c r="F14" s="13">
        <f>B18</f>
        <v>0.11827011231470995</v>
      </c>
      <c r="G14" s="13">
        <f>B19</f>
        <v>0.10658260430697813</v>
      </c>
      <c r="H14" s="13">
        <f>B20</f>
        <v>0.12928694054710996</v>
      </c>
      <c r="I14" s="13">
        <f>B21</f>
        <v>-7.7884423702725677E-2</v>
      </c>
      <c r="J14" s="13">
        <f>B22</f>
        <v>2.2196525089493253E-3</v>
      </c>
      <c r="L14" t="s">
        <v>37</v>
      </c>
      <c r="M14">
        <f ca="1">(M12-M11)/M13</f>
        <v>0.29125589183056921</v>
      </c>
    </row>
    <row r="15" spans="1:13" x14ac:dyDescent="0.25">
      <c r="A15" s="1" t="str">
        <f>B3</f>
        <v>PZZA</v>
      </c>
      <c r="B15" s="11">
        <v>8.9377885999449319E-2</v>
      </c>
      <c r="C15" s="12">
        <f ca="1">C3*$B$15*C14</f>
        <v>1.100902300340615E-3</v>
      </c>
      <c r="D15" s="12">
        <f t="shared" ref="D15:D22" ca="1" si="1">D3*B15*$D$14</f>
        <v>1.5658842180966729E-3</v>
      </c>
      <c r="E15" s="12">
        <f t="shared" ref="E15:E22" ca="1" si="2">E3*B15*$E$14</f>
        <v>1.1983231545270058E-3</v>
      </c>
      <c r="F15" s="12">
        <f t="shared" ref="F15:F22" ca="1" si="3">F3*B15*$F$14</f>
        <v>4.9088665149722504E-4</v>
      </c>
      <c r="G15" s="12">
        <f t="shared" ref="G15:G22" ca="1" si="4">G3*B15*$G$14</f>
        <v>1.5719758573323994E-4</v>
      </c>
      <c r="H15" s="12">
        <f t="shared" ref="H15:H22" ca="1" si="5">H3*B15*$H$14</f>
        <v>1.8230917661033857E-4</v>
      </c>
      <c r="I15" s="12">
        <f t="shared" ref="I15:I22" ca="1" si="6">I3*B15*$I$14</f>
        <v>-2.2026987456792097E-4</v>
      </c>
      <c r="J15" s="12">
        <f t="shared" ref="J15:J22" ca="1" si="7">J3*B15*$J$14</f>
        <v>3.965883984284769E-6</v>
      </c>
      <c r="L15" t="s">
        <v>27</v>
      </c>
      <c r="M15">
        <v>3</v>
      </c>
    </row>
    <row r="16" spans="1:13" x14ac:dyDescent="0.25">
      <c r="A16" s="1" t="str">
        <f t="shared" ref="A16:A22" si="8">B4</f>
        <v>AAPL</v>
      </c>
      <c r="B16" s="11">
        <v>0.34932324020959515</v>
      </c>
      <c r="C16" s="12">
        <f t="shared" ref="C16:C22" ca="1" si="9">C4*B16*$C$14</f>
        <v>1.5658842180966727E-3</v>
      </c>
      <c r="D16" s="12">
        <f t="shared" ca="1" si="1"/>
        <v>9.7661900607528013E-3</v>
      </c>
      <c r="E16" s="12">
        <f t="shared" ca="1" si="2"/>
        <v>3.682285151418759E-3</v>
      </c>
      <c r="F16" s="12">
        <f t="shared" ca="1" si="3"/>
        <v>2.0016023570106228E-3</v>
      </c>
      <c r="G16" s="12">
        <f t="shared" ca="1" si="4"/>
        <v>1.1299525606865315E-3</v>
      </c>
      <c r="H16" s="12">
        <f t="shared" ca="1" si="5"/>
        <v>3.9146518459878214E-4</v>
      </c>
      <c r="I16" s="12">
        <f t="shared" ca="1" si="6"/>
        <v>-5.1715748298422582E-4</v>
      </c>
      <c r="J16" s="12">
        <f t="shared" ca="1" si="7"/>
        <v>3.0948903849759539E-5</v>
      </c>
      <c r="L16" t="s">
        <v>31</v>
      </c>
      <c r="M16" s="5">
        <v>0.42810435256604962</v>
      </c>
    </row>
    <row r="17" spans="1:14" x14ac:dyDescent="0.25">
      <c r="A17" s="1" t="str">
        <f t="shared" si="8"/>
        <v>PRU</v>
      </c>
      <c r="B17" s="11">
        <v>0.28282398781593376</v>
      </c>
      <c r="C17" s="12">
        <f t="shared" ca="1" si="9"/>
        <v>1.198323154527006E-3</v>
      </c>
      <c r="D17" s="12">
        <f t="shared" ca="1" si="1"/>
        <v>3.682285151418759E-3</v>
      </c>
      <c r="E17" s="12">
        <f t="shared" ca="1" si="2"/>
        <v>8.0301682066961921E-3</v>
      </c>
      <c r="F17" s="12">
        <f t="shared" ca="1" si="3"/>
        <v>2.407094118177295E-3</v>
      </c>
      <c r="G17" s="12">
        <f t="shared" ca="1" si="4"/>
        <v>2.0905475539643643E-3</v>
      </c>
      <c r="H17" s="12">
        <f t="shared" ca="1" si="5"/>
        <v>7.0738216359128451E-4</v>
      </c>
      <c r="I17" s="12">
        <f t="shared" ca="1" si="6"/>
        <v>-1.696810230544308E-3</v>
      </c>
      <c r="J17" s="12">
        <f t="shared" ca="1" si="7"/>
        <v>7.3145472746235582E-5</v>
      </c>
      <c r="L17" t="s">
        <v>32</v>
      </c>
      <c r="M17" s="5">
        <f ca="1">M16*M12+(1-M16)*M11</f>
        <v>5.8276664842006748E-2</v>
      </c>
    </row>
    <row r="18" spans="1:14" x14ac:dyDescent="0.25">
      <c r="A18" s="1" t="str">
        <f t="shared" si="8"/>
        <v>DIS</v>
      </c>
      <c r="B18" s="11">
        <v>0.11827011231470995</v>
      </c>
      <c r="C18" s="12">
        <f t="shared" ca="1" si="9"/>
        <v>4.9088665149722504E-4</v>
      </c>
      <c r="D18" s="12">
        <f t="shared" ca="1" si="1"/>
        <v>2.0016023570106228E-3</v>
      </c>
      <c r="E18" s="12">
        <f t="shared" ca="1" si="2"/>
        <v>2.407094118177295E-3</v>
      </c>
      <c r="F18" s="12">
        <f t="shared" ca="1" si="3"/>
        <v>1.7452543251801848E-3</v>
      </c>
      <c r="G18" s="12">
        <f t="shared" ca="1" si="4"/>
        <v>1.0478680053843017E-3</v>
      </c>
      <c r="H18" s="12">
        <f t="shared" ca="1" si="5"/>
        <v>2.50324921495224E-4</v>
      </c>
      <c r="I18" s="12">
        <f t="shared" ca="1" si="6"/>
        <v>-5.3942953314379356E-4</v>
      </c>
      <c r="J18" s="12">
        <f t="shared" ca="1" si="7"/>
        <v>2.6559382232799151E-5</v>
      </c>
      <c r="L18" t="s">
        <v>33</v>
      </c>
      <c r="M18" s="5">
        <f ca="1">M16*M13</f>
        <v>9.7085297276856428E-2</v>
      </c>
    </row>
    <row r="19" spans="1:14" x14ac:dyDescent="0.25">
      <c r="A19" s="1" t="str">
        <f t="shared" si="8"/>
        <v>GE</v>
      </c>
      <c r="B19" s="11">
        <v>0.10658260430697813</v>
      </c>
      <c r="C19" s="12">
        <f t="shared" ca="1" si="9"/>
        <v>1.5719758573323994E-4</v>
      </c>
      <c r="D19" s="12">
        <f t="shared" ca="1" si="1"/>
        <v>1.1299525606865315E-3</v>
      </c>
      <c r="E19" s="12">
        <f t="shared" ca="1" si="2"/>
        <v>2.0905475539643639E-3</v>
      </c>
      <c r="F19" s="12">
        <f t="shared" ca="1" si="3"/>
        <v>1.0478680053843017E-3</v>
      </c>
      <c r="G19" s="12">
        <f t="shared" ca="1" si="4"/>
        <v>1.663885827144106E-3</v>
      </c>
      <c r="H19" s="12">
        <f t="shared" ca="1" si="5"/>
        <v>1.4931294870120144E-4</v>
      </c>
      <c r="I19" s="12">
        <f t="shared" ca="1" si="6"/>
        <v>-5.1614613149544245E-4</v>
      </c>
      <c r="J19" s="12">
        <f t="shared" ca="1" si="7"/>
        <v>3.1099434239352065E-5</v>
      </c>
      <c r="L19" t="s">
        <v>25</v>
      </c>
      <c r="M19" s="8">
        <f ca="1">M17-0.5*M15*M18^2</f>
        <v>4.4138332421003373E-2</v>
      </c>
    </row>
    <row r="20" spans="1:14" x14ac:dyDescent="0.25">
      <c r="A20" s="1" t="str">
        <f t="shared" si="8"/>
        <v>MRK</v>
      </c>
      <c r="B20" s="11">
        <v>0.12928694054710996</v>
      </c>
      <c r="C20" s="12">
        <f t="shared" ca="1" si="9"/>
        <v>1.8230917661033854E-4</v>
      </c>
      <c r="D20" s="12">
        <f t="shared" ca="1" si="1"/>
        <v>3.9146518459878214E-4</v>
      </c>
      <c r="E20" s="12">
        <f t="shared" ca="1" si="2"/>
        <v>7.0738216359128461E-4</v>
      </c>
      <c r="F20" s="12">
        <f t="shared" ca="1" si="3"/>
        <v>2.50324921495224E-4</v>
      </c>
      <c r="G20" s="12">
        <f t="shared" ca="1" si="4"/>
        <v>1.4931294870120144E-4</v>
      </c>
      <c r="H20" s="12">
        <f t="shared" ca="1" si="5"/>
        <v>7.7919423274586932E-4</v>
      </c>
      <c r="I20" s="12">
        <f t="shared" ca="1" si="6"/>
        <v>-2.9003306863490048E-4</v>
      </c>
      <c r="J20" s="12">
        <f t="shared" ca="1" si="7"/>
        <v>3.8398969716740286E-6</v>
      </c>
      <c r="L20" s="30" t="s">
        <v>39</v>
      </c>
      <c r="M20" s="30"/>
      <c r="N20" s="30"/>
    </row>
    <row r="21" spans="1:14" x14ac:dyDescent="0.25">
      <c r="A21" s="1" t="str">
        <f t="shared" si="8"/>
        <v>XOM</v>
      </c>
      <c r="B21" s="11">
        <v>-7.7884423702725677E-2</v>
      </c>
      <c r="C21" s="12">
        <f t="shared" ca="1" si="9"/>
        <v>-2.20269874567921E-4</v>
      </c>
      <c r="D21" s="12">
        <f t="shared" ca="1" si="1"/>
        <v>-5.1715748298422582E-4</v>
      </c>
      <c r="E21" s="12">
        <f t="shared" ca="1" si="2"/>
        <v>-1.6968102305443082E-3</v>
      </c>
      <c r="F21" s="12">
        <f t="shared" ca="1" si="3"/>
        <v>-5.3942953314379356E-4</v>
      </c>
      <c r="G21" s="12">
        <f t="shared" ca="1" si="4"/>
        <v>-5.1614613149544245E-4</v>
      </c>
      <c r="H21" s="12">
        <f t="shared" ca="1" si="5"/>
        <v>-2.9003306863490053E-4</v>
      </c>
      <c r="I21" s="12">
        <f t="shared" ca="1" si="6"/>
        <v>6.9063069783118283E-4</v>
      </c>
      <c r="J21" s="12">
        <f t="shared" ca="1" si="7"/>
        <v>-1.6528508777290211E-5</v>
      </c>
      <c r="M21" s="3" t="s">
        <v>28</v>
      </c>
      <c r="N21" s="3" t="s">
        <v>29</v>
      </c>
    </row>
    <row r="22" spans="1:14" x14ac:dyDescent="0.25">
      <c r="A22" s="1" t="str">
        <f t="shared" si="8"/>
        <v>UAL</v>
      </c>
      <c r="B22" s="11">
        <v>2.2196525089493253E-3</v>
      </c>
      <c r="C22" s="12">
        <f t="shared" ca="1" si="9"/>
        <v>3.965883984284769E-6</v>
      </c>
      <c r="D22" s="12">
        <f t="shared" ca="1" si="1"/>
        <v>3.0948903849759539E-5</v>
      </c>
      <c r="E22" s="12">
        <f t="shared" ca="1" si="2"/>
        <v>7.3145472746235596E-5</v>
      </c>
      <c r="F22" s="12">
        <f t="shared" ca="1" si="3"/>
        <v>2.6559382232799148E-5</v>
      </c>
      <c r="G22" s="12">
        <f t="shared" ca="1" si="4"/>
        <v>3.1099434239352072E-5</v>
      </c>
      <c r="H22" s="12">
        <f t="shared" ca="1" si="5"/>
        <v>3.8398969716740277E-6</v>
      </c>
      <c r="I22" s="12">
        <f t="shared" ca="1" si="6"/>
        <v>-1.6528508777290214E-5</v>
      </c>
      <c r="J22" s="12">
        <f t="shared" ca="1" si="7"/>
        <v>1.4828047877454882E-6</v>
      </c>
      <c r="L22" t="s">
        <v>26</v>
      </c>
      <c r="M22" s="14">
        <v>0</v>
      </c>
      <c r="N22" s="8">
        <f>M11</f>
        <v>0.03</v>
      </c>
    </row>
    <row r="23" spans="1:14" x14ac:dyDescent="0.25">
      <c r="A23" t="s">
        <v>22</v>
      </c>
      <c r="B23">
        <f>SUM(B15:B22)</f>
        <v>1</v>
      </c>
      <c r="C23" s="12"/>
      <c r="D23" s="12"/>
      <c r="E23" s="12"/>
      <c r="F23" s="12"/>
      <c r="G23" s="12"/>
      <c r="H23" s="12"/>
      <c r="I23" s="12"/>
      <c r="J23" s="12"/>
      <c r="L23" t="s">
        <v>34</v>
      </c>
      <c r="M23" s="8">
        <f ca="1">B26</f>
        <v>0.22677951460883064</v>
      </c>
      <c r="N23" s="9">
        <f ca="1">B27</f>
        <v>9.6050869776298564E-2</v>
      </c>
    </row>
    <row r="24" spans="1:14" x14ac:dyDescent="0.25">
      <c r="L24" t="s">
        <v>38</v>
      </c>
      <c r="M24" s="8">
        <f ca="1">2.5*M23</f>
        <v>0.56694878652207659</v>
      </c>
      <c r="N24" s="9">
        <f ca="1">2.5*(N23-M11)+M11</f>
        <v>0.19512717444074643</v>
      </c>
    </row>
    <row r="25" spans="1:14" x14ac:dyDescent="0.25">
      <c r="A25" t="s">
        <v>19</v>
      </c>
      <c r="B25" s="12">
        <f ca="1">SUM(C15:J22)</f>
        <v>5.1428948246216834E-2</v>
      </c>
    </row>
    <row r="26" spans="1:14" x14ac:dyDescent="0.25">
      <c r="A26" t="s">
        <v>20</v>
      </c>
      <c r="B26" s="19">
        <f ca="1">SQRT(B25)</f>
        <v>0.22677951460883064</v>
      </c>
    </row>
    <row r="27" spans="1:14" x14ac:dyDescent="0.25">
      <c r="A27" t="s">
        <v>21</v>
      </c>
      <c r="B27" s="20">
        <f ca="1">SUMPRODUCT('Correlation Matrix'!L3:L10,B15:B22)</f>
        <v>9.6050869776298564E-2</v>
      </c>
    </row>
  </sheetData>
  <mergeCells count="3">
    <mergeCell ref="D1:I1"/>
    <mergeCell ref="D12:I12"/>
    <mergeCell ref="L20:N2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8"/>
  <sheetViews>
    <sheetView workbookViewId="0">
      <selection activeCell="L3" sqref="L3"/>
    </sheetView>
  </sheetViews>
  <sheetFormatPr defaultRowHeight="15" x14ac:dyDescent="0.25"/>
  <cols>
    <col min="1" max="1" width="12.28515625" customWidth="1"/>
    <col min="2" max="2" width="10.5703125" customWidth="1"/>
    <col min="12" max="12" width="11.42578125" customWidth="1"/>
  </cols>
  <sheetData>
    <row r="1" spans="1:11" ht="15.75" x14ac:dyDescent="0.25">
      <c r="D1" s="29" t="s">
        <v>30</v>
      </c>
      <c r="E1" s="29"/>
      <c r="F1" s="29"/>
      <c r="G1" s="29"/>
      <c r="H1" s="29"/>
      <c r="I1" s="29"/>
    </row>
    <row r="2" spans="1:11" x14ac:dyDescent="0.25">
      <c r="A2" s="1" t="s">
        <v>23</v>
      </c>
      <c r="B2" s="1" t="s">
        <v>24</v>
      </c>
      <c r="C2" s="17" t="str">
        <f>'Covar Matrix'!C13</f>
        <v>PZZA</v>
      </c>
      <c r="D2" s="17" t="str">
        <f>'Covar Matrix'!D13</f>
        <v>AAPL</v>
      </c>
      <c r="E2" s="17" t="str">
        <f>'Covar Matrix'!E13</f>
        <v>PRU</v>
      </c>
      <c r="F2" s="17" t="str">
        <f>'Covar Matrix'!F13</f>
        <v>DIS</v>
      </c>
      <c r="G2" s="17" t="str">
        <f>'Covar Matrix'!G13</f>
        <v>GE</v>
      </c>
      <c r="H2" s="17" t="str">
        <f>'Covar Matrix'!H13</f>
        <v>MRK</v>
      </c>
      <c r="I2" s="17" t="str">
        <f>'Covar Matrix'!I13</f>
        <v>XOM</v>
      </c>
      <c r="J2" s="17" t="str">
        <f>'Covar Matrix'!J13</f>
        <v>UAL</v>
      </c>
    </row>
    <row r="3" spans="1:11" x14ac:dyDescent="0.25">
      <c r="A3" s="15">
        <v>0.02</v>
      </c>
      <c r="B3" s="16">
        <v>0.32558140850434825</v>
      </c>
      <c r="C3" s="22">
        <v>-1.545834205128375E-2</v>
      </c>
      <c r="D3" s="3">
        <v>9.9807688568480241E-2</v>
      </c>
      <c r="E3" s="3">
        <v>-0.47596426143086712</v>
      </c>
      <c r="F3" s="3">
        <v>-0.35191455060184518</v>
      </c>
      <c r="G3" s="3">
        <v>0.17857631602782692</v>
      </c>
      <c r="H3" s="3">
        <v>1.4117825524922956</v>
      </c>
      <c r="I3" s="3">
        <v>0.21328140466914877</v>
      </c>
      <c r="J3" s="3">
        <v>-6.0110807673756012E-2</v>
      </c>
    </row>
    <row r="4" spans="1:11" x14ac:dyDescent="0.25">
      <c r="A4" s="15">
        <v>0.03</v>
      </c>
      <c r="B4" s="21">
        <v>0.2811953415949795</v>
      </c>
      <c r="C4" s="23">
        <v>-1.6726628303518215E-3</v>
      </c>
      <c r="D4">
        <v>0.1328929351259692</v>
      </c>
      <c r="E4">
        <v>-0.37622869799042286</v>
      </c>
      <c r="F4">
        <v>-0.29052183279182436</v>
      </c>
      <c r="G4">
        <v>0.16939531227184529</v>
      </c>
      <c r="H4">
        <v>1.2429068723657886</v>
      </c>
      <c r="I4">
        <v>0.1752163634226544</v>
      </c>
      <c r="J4">
        <v>-5.198828957365885E-2</v>
      </c>
    </row>
    <row r="5" spans="1:11" x14ac:dyDescent="0.25">
      <c r="A5" s="15">
        <v>0.04</v>
      </c>
      <c r="B5" s="16">
        <v>0.2410820101568886</v>
      </c>
      <c r="C5">
        <v>1.2083692187577414E-2</v>
      </c>
      <c r="D5">
        <v>0.16547557226745613</v>
      </c>
      <c r="E5">
        <v>-0.27639697565120103</v>
      </c>
      <c r="F5">
        <v>-0.22824514388123041</v>
      </c>
      <c r="G5">
        <v>0.15962297269240361</v>
      </c>
      <c r="H5">
        <v>1.0745186450123014</v>
      </c>
      <c r="I5">
        <v>0.1366808259751669</v>
      </c>
      <c r="J5">
        <v>-4.3739588602473865E-2</v>
      </c>
    </row>
    <row r="6" spans="1:11" x14ac:dyDescent="0.25">
      <c r="A6" s="15">
        <v>0.05</v>
      </c>
      <c r="B6" s="16">
        <v>0.20773168608895973</v>
      </c>
      <c r="C6">
        <v>2.5882133890056405E-2</v>
      </c>
      <c r="D6">
        <v>0.19828869592805043</v>
      </c>
      <c r="E6">
        <v>-0.17664929658560249</v>
      </c>
      <c r="F6">
        <v>-0.1664183639858306</v>
      </c>
      <c r="G6">
        <v>0.15014607890951892</v>
      </c>
      <c r="H6">
        <v>0.90589068247107762</v>
      </c>
      <c r="I6">
        <v>9.8383625520465395E-2</v>
      </c>
      <c r="J6">
        <v>-3.5523556147735502E-2</v>
      </c>
    </row>
    <row r="7" spans="1:11" x14ac:dyDescent="0.25">
      <c r="A7" s="15">
        <v>0.06</v>
      </c>
      <c r="B7" s="16">
        <v>0.18484197483127313</v>
      </c>
      <c r="C7">
        <v>3.9678513828000944E-2</v>
      </c>
      <c r="D7">
        <v>0.23110318741357713</v>
      </c>
      <c r="E7">
        <v>-7.690027254317601E-2</v>
      </c>
      <c r="F7">
        <v>-0.10459125860756865</v>
      </c>
      <c r="G7">
        <v>0.14066958921398301</v>
      </c>
      <c r="H7">
        <v>0.73726221090721311</v>
      </c>
      <c r="I7">
        <v>6.0087057201406426E-2</v>
      </c>
      <c r="J7">
        <v>-2.7309027413436181E-2</v>
      </c>
    </row>
    <row r="8" spans="1:11" x14ac:dyDescent="0.25">
      <c r="A8" s="15">
        <v>7.0000000000000007E-2</v>
      </c>
      <c r="B8" s="16">
        <v>0.17653000419976991</v>
      </c>
      <c r="C8">
        <v>5.3472471436402921E-2</v>
      </c>
      <c r="D8">
        <v>0.26392000991895881</v>
      </c>
      <c r="E8">
        <v>2.2850446626054319E-2</v>
      </c>
      <c r="F8">
        <v>-4.2763136959590102E-2</v>
      </c>
      <c r="G8">
        <v>0.13119333706137115</v>
      </c>
      <c r="H8">
        <v>0.5686328312776765</v>
      </c>
      <c r="I8">
        <v>2.1791281787715413E-2</v>
      </c>
      <c r="J8">
        <v>-1.9097241148588656E-2</v>
      </c>
    </row>
    <row r="9" spans="1:11" x14ac:dyDescent="0.25">
      <c r="A9" s="15">
        <v>0.08</v>
      </c>
      <c r="B9" s="16">
        <v>0.18477368195121524</v>
      </c>
      <c r="C9">
        <v>6.7263363857057834E-2</v>
      </c>
      <c r="D9">
        <v>0.29673944464885182</v>
      </c>
      <c r="E9">
        <v>0.12260370364910581</v>
      </c>
      <c r="F9">
        <v>1.9066407537412747E-2</v>
      </c>
      <c r="G9">
        <v>0.12171723125844663</v>
      </c>
      <c r="H9">
        <v>0.40000231877077236</v>
      </c>
      <c r="I9">
        <v>-1.6503413713295889E-2</v>
      </c>
      <c r="J9">
        <v>-1.0889056008351357E-2</v>
      </c>
    </row>
    <row r="10" spans="1:11" x14ac:dyDescent="0.25">
      <c r="A10" s="15">
        <v>0.09</v>
      </c>
      <c r="B10" s="16">
        <v>0.20761013759567931</v>
      </c>
      <c r="C10">
        <v>8.1051955902981393E-2</v>
      </c>
      <c r="D10">
        <v>0.32956100671414534</v>
      </c>
      <c r="E10">
        <v>0.22235810669672906</v>
      </c>
      <c r="F10">
        <v>8.0897249795160969E-2</v>
      </c>
      <c r="G10">
        <v>0.11224133886909796</v>
      </c>
      <c r="H10">
        <v>0.23137068778964046</v>
      </c>
      <c r="I10">
        <v>-5.479674557010325E-2</v>
      </c>
      <c r="J10">
        <v>-2.6836001976518701E-3</v>
      </c>
    </row>
    <row r="11" spans="1:11" x14ac:dyDescent="0.25">
      <c r="A11" s="15">
        <v>0.1</v>
      </c>
      <c r="B11" s="16">
        <v>0.24092490380375023</v>
      </c>
      <c r="C11">
        <v>9.4836897791312033E-2</v>
      </c>
      <c r="D11">
        <v>0.36238414591016133</v>
      </c>
      <c r="E11">
        <v>0.32211420749417918</v>
      </c>
      <c r="F11">
        <v>0.14272855721422384</v>
      </c>
      <c r="G11">
        <v>0.10276521286510849</v>
      </c>
      <c r="H11">
        <v>6.2738420544513993E-2</v>
      </c>
      <c r="I11">
        <v>-9.3088132641584831E-2</v>
      </c>
      <c r="J11">
        <v>5.5206908220859852E-3</v>
      </c>
    </row>
    <row r="12" spans="1:11" x14ac:dyDescent="0.25">
      <c r="A12" s="15">
        <v>0.11</v>
      </c>
      <c r="B12" s="16">
        <v>0.28101571834777589</v>
      </c>
      <c r="C12">
        <v>0.10862511214977261</v>
      </c>
      <c r="D12">
        <v>0.39520681209507763</v>
      </c>
      <c r="E12">
        <v>0.4218695303290666</v>
      </c>
      <c r="F12">
        <v>0.2045590088846273</v>
      </c>
      <c r="G12">
        <v>9.3290082526247473E-2</v>
      </c>
      <c r="H12">
        <v>-0.10589350756907434</v>
      </c>
      <c r="I12">
        <v>-0.13138201620841949</v>
      </c>
      <c r="J12">
        <v>1.3724977792702391E-2</v>
      </c>
    </row>
    <row r="13" spans="1:11" x14ac:dyDescent="0.25">
      <c r="A13" s="15">
        <v>0.12</v>
      </c>
      <c r="B13" s="16">
        <v>0.32538752725466691</v>
      </c>
      <c r="C13">
        <v>0.12241200875363106</v>
      </c>
      <c r="D13">
        <v>0.42803191218598258</v>
      </c>
      <c r="E13">
        <v>0.52162025438039461</v>
      </c>
      <c r="F13">
        <v>0.26639212284543312</v>
      </c>
      <c r="G13">
        <v>8.3814784589514121E-2</v>
      </c>
      <c r="H13">
        <v>-0.27452862845641385</v>
      </c>
      <c r="I13">
        <v>-0.16966960516084964</v>
      </c>
      <c r="J13">
        <v>2.1927150862307749E-2</v>
      </c>
    </row>
    <row r="14" spans="1:11" x14ac:dyDescent="0.25">
      <c r="A14" s="15">
        <v>0.13</v>
      </c>
      <c r="B14" s="16">
        <v>0.37251367291330462</v>
      </c>
      <c r="C14">
        <v>0.13619714323119003</v>
      </c>
      <c r="D14">
        <v>0.46084964219292363</v>
      </c>
      <c r="E14">
        <v>0.62137934059163902</v>
      </c>
      <c r="F14">
        <v>0.32821989974516602</v>
      </c>
      <c r="G14">
        <v>7.4341058141457708E-2</v>
      </c>
      <c r="H14">
        <v>-0.44315590153765705</v>
      </c>
      <c r="I14">
        <v>-0.2079683151744095</v>
      </c>
      <c r="J14">
        <v>3.0137132809690211E-2</v>
      </c>
    </row>
    <row r="16" spans="1:11" x14ac:dyDescent="0.25">
      <c r="A16" s="25">
        <v>7.0015594641578388E-2</v>
      </c>
      <c r="B16" s="25">
        <v>0.1765299745964016</v>
      </c>
      <c r="C16" s="3">
        <v>5.353865980986923E-2</v>
      </c>
      <c r="D16" s="3">
        <v>0.26393158010751533</v>
      </c>
      <c r="E16" s="3">
        <v>2.3024117794916817E-2</v>
      </c>
      <c r="F16" s="3">
        <v>-4.2745757942463949E-2</v>
      </c>
      <c r="G16" s="3">
        <v>0.13110622679229791</v>
      </c>
      <c r="H16" s="3">
        <v>0.56839187706149941</v>
      </c>
      <c r="I16" s="3">
        <v>2.1736256486997212E-2</v>
      </c>
      <c r="J16" s="3">
        <v>-1.898296011063191E-2</v>
      </c>
      <c r="K16" s="2" t="s">
        <v>46</v>
      </c>
    </row>
    <row r="18" spans="1:11" x14ac:dyDescent="0.25">
      <c r="A18" s="25">
        <v>9.6050869776298564E-2</v>
      </c>
      <c r="B18" s="25">
        <v>0.22677951460883064</v>
      </c>
      <c r="C18">
        <v>8.9377885999449319E-2</v>
      </c>
      <c r="D18">
        <v>0.34932324020959515</v>
      </c>
      <c r="E18">
        <v>0.28282398781593376</v>
      </c>
      <c r="F18">
        <v>0.11827011231470995</v>
      </c>
      <c r="G18">
        <v>0.10658260430697813</v>
      </c>
      <c r="H18">
        <v>0.12928694054710996</v>
      </c>
      <c r="I18">
        <v>-7.7884423702725677E-2</v>
      </c>
      <c r="J18">
        <v>2.2196525089493253E-3</v>
      </c>
      <c r="K18" s="2" t="s">
        <v>48</v>
      </c>
    </row>
  </sheetData>
  <mergeCells count="1">
    <mergeCell ref="D1:I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9</vt:i4>
      </vt:variant>
    </vt:vector>
  </HeadingPairs>
  <TitlesOfParts>
    <vt:vector size="13" baseType="lpstr">
      <vt:lpstr>Returns</vt:lpstr>
      <vt:lpstr>Correlation Matrix</vt:lpstr>
      <vt:lpstr>Covar Matrix</vt:lpstr>
      <vt:lpstr>Efficient Frontier</vt:lpstr>
      <vt:lpstr>AAPL</vt:lpstr>
      <vt:lpstr>DIS</vt:lpstr>
      <vt:lpstr>GE</vt:lpstr>
      <vt:lpstr>IVV</vt:lpstr>
      <vt:lpstr>MRK</vt:lpstr>
      <vt:lpstr>PRU</vt:lpstr>
      <vt:lpstr>PZZA</vt:lpstr>
      <vt:lpstr>UAL</vt:lpstr>
      <vt:lpstr>XOM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wreese</dc:creator>
  <cp:lastModifiedBy>Reese, William A</cp:lastModifiedBy>
  <dcterms:created xsi:type="dcterms:W3CDTF">2009-05-12T21:15:13Z</dcterms:created>
  <dcterms:modified xsi:type="dcterms:W3CDTF">2026-02-11T21:13:45Z</dcterms:modified>
</cp:coreProperties>
</file>